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p791\Desktop\"/>
    </mc:Choice>
  </mc:AlternateContent>
  <xr:revisionPtr revIDLastSave="0" documentId="13_ncr:1_{229133CB-D182-471A-BD3F-053423FF2CD3}" xr6:coauthVersionLast="47" xr6:coauthVersionMax="47" xr10:uidLastSave="{00000000-0000-0000-0000-000000000000}"/>
  <bookViews>
    <workbookView xWindow="-120" yWindow="-120" windowWidth="29040" windowHeight="16440" xr2:uid="{0E7305ED-6742-4832-86CF-2A99B87952BB}"/>
  </bookViews>
  <sheets>
    <sheet name="Dim. limtræsbjælke" sheetId="1" r:id="rId1"/>
    <sheet name="Dim. stålbjælke" sheetId="2" r:id="rId2"/>
    <sheet name="Dim betonbjælke" sheetId="6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5" i="1" l="1"/>
  <c r="K34" i="1"/>
  <c r="K33" i="1"/>
  <c r="K32" i="1"/>
  <c r="K31" i="1"/>
  <c r="K30" i="1"/>
  <c r="K29" i="1"/>
  <c r="K28" i="1"/>
  <c r="K27" i="1"/>
  <c r="K26" i="1"/>
  <c r="K25" i="1"/>
  <c r="K24" i="1"/>
  <c r="K23" i="1"/>
  <c r="F30" i="1"/>
  <c r="D7" i="1"/>
  <c r="D6" i="1"/>
  <c r="F20" i="1" s="1"/>
  <c r="F32" i="1" l="1"/>
  <c r="F11" i="1"/>
  <c r="K15" i="1"/>
  <c r="P14" i="1"/>
  <c r="F25" i="1"/>
  <c r="K20" i="1"/>
  <c r="K21" i="1"/>
  <c r="F33" i="1"/>
  <c r="K10" i="1"/>
  <c r="P21" i="1"/>
  <c r="K11" i="1"/>
  <c r="P10" i="1"/>
  <c r="F23" i="1"/>
  <c r="K12" i="1"/>
  <c r="P11" i="1"/>
  <c r="F24" i="1"/>
  <c r="K18" i="1"/>
  <c r="P17" i="1"/>
  <c r="K19" i="1"/>
  <c r="F31" i="1"/>
  <c r="P19" i="1"/>
  <c r="K9" i="1"/>
  <c r="P20" i="1"/>
  <c r="P9" i="1"/>
  <c r="F34" i="1"/>
  <c r="K13" i="1"/>
  <c r="P12" i="1"/>
  <c r="K14" i="1"/>
  <c r="P13" i="1"/>
  <c r="F26" i="1"/>
  <c r="F27" i="1"/>
  <c r="K16" i="1"/>
  <c r="P15" i="1"/>
  <c r="F28" i="1"/>
  <c r="K17" i="1"/>
  <c r="P16" i="1"/>
  <c r="F29" i="1"/>
  <c r="P18" i="1"/>
  <c r="F35" i="1"/>
  <c r="B20" i="1"/>
  <c r="F12" i="1"/>
  <c r="B12" i="1" s="1"/>
  <c r="F18" i="1"/>
  <c r="B18" i="1" s="1"/>
  <c r="F19" i="1"/>
  <c r="F10" i="1"/>
  <c r="B10" i="1" s="1"/>
  <c r="B11" i="1"/>
  <c r="F14" i="1"/>
  <c r="B14" i="1" s="1"/>
  <c r="F9" i="1"/>
  <c r="B9" i="1" s="1"/>
  <c r="F13" i="1"/>
  <c r="B13" i="1" s="1"/>
  <c r="F15" i="1"/>
  <c r="F16" i="1"/>
  <c r="F17" i="1"/>
  <c r="B17" i="1" s="1"/>
  <c r="F21" i="1"/>
  <c r="B21" i="1" s="1"/>
  <c r="B15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Pedersen</author>
  </authors>
  <commentList>
    <comment ref="E3" authorId="0" shapeId="0" xr:uid="{804B64CF-175C-4EDC-A348-18EC37A752E1}">
      <text>
        <r>
          <rPr>
            <b/>
            <sz val="9"/>
            <color indexed="81"/>
            <rFont val="Tahoma"/>
            <charset val="1"/>
          </rPr>
          <t>Michael Pedersen:</t>
        </r>
        <r>
          <rPr>
            <sz val="9"/>
            <color indexed="81"/>
            <rFont val="Tahoma"/>
            <charset val="1"/>
          </rPr>
          <t xml:space="preserve">
x-akse</t>
        </r>
      </text>
    </comment>
    <comment ref="E4" authorId="0" shapeId="0" xr:uid="{8BD5CC90-2DBB-4C3E-90E2-3A2CF5FA99EB}">
      <text>
        <r>
          <rPr>
            <b/>
            <sz val="9"/>
            <color indexed="81"/>
            <rFont val="Tahoma"/>
            <charset val="1"/>
          </rPr>
          <t>Michael Pedersen:</t>
        </r>
        <r>
          <rPr>
            <sz val="9"/>
            <color indexed="81"/>
            <rFont val="Tahoma"/>
            <charset val="1"/>
          </rPr>
          <t xml:space="preserve">
y-akse</t>
        </r>
      </text>
    </comment>
  </commentList>
</comments>
</file>

<file path=xl/sharedStrings.xml><?xml version="1.0" encoding="utf-8"?>
<sst xmlns="http://schemas.openxmlformats.org/spreadsheetml/2006/main" count="138" uniqueCount="71">
  <si>
    <t>Af Michael Pedersen</t>
  </si>
  <si>
    <t>Lastopland</t>
  </si>
  <si>
    <t>Lastgruppe, Boliglast, L40=GL30, L30=GL28, c=homogen (samme styrkekl.), h=lav styrke.</t>
  </si>
  <si>
    <t>Spændvidde</t>
  </si>
  <si>
    <t>[m]</t>
  </si>
  <si>
    <t>Spændvidde (+7%)</t>
  </si>
  <si>
    <t>Lastopland       (≈)</t>
  </si>
  <si>
    <t xml:space="preserve">Dette gælder, når Knud Ahlers’ `Dimensionering med diagrammer’ anvendes til overslagsdimensionering. </t>
  </si>
  <si>
    <t xml:space="preserve">eksponentiel funktion </t>
  </si>
  <si>
    <t>Dimensionering af GLC30 limtræsbjælke</t>
  </si>
  <si>
    <t xml:space="preserve">Ifølge nye standarder i DS, vedrørende bjælker i limtræ, skal der påregnes ekstra 7% på spændvidde. </t>
  </si>
  <si>
    <t>333 mm</t>
  </si>
  <si>
    <t>500 mm</t>
  </si>
  <si>
    <t>y-værdi=</t>
  </si>
  <si>
    <t>115x133 mm</t>
  </si>
  <si>
    <t>115x166 mm</t>
  </si>
  <si>
    <t>115x200 mm</t>
  </si>
  <si>
    <t>115x233 mm</t>
  </si>
  <si>
    <t>115x500 mm</t>
  </si>
  <si>
    <t>115x600 mm</t>
  </si>
  <si>
    <t>115x700 mm</t>
  </si>
  <si>
    <t>115x800 mm</t>
  </si>
  <si>
    <t>115x266 mm</t>
  </si>
  <si>
    <t>115x300 mm</t>
  </si>
  <si>
    <t>115x333 mm</t>
  </si>
  <si>
    <t>115x366 mm</t>
  </si>
  <si>
    <t>115x400 mm</t>
  </si>
  <si>
    <t>140x900 mm</t>
  </si>
  <si>
    <t>140x166 mm</t>
  </si>
  <si>
    <t>140x200 mm</t>
  </si>
  <si>
    <t>140x233 mm</t>
  </si>
  <si>
    <t>140x266 mm</t>
  </si>
  <si>
    <t>140x300 mm</t>
  </si>
  <si>
    <t>140x333 mm</t>
  </si>
  <si>
    <t>140x366 mm</t>
  </si>
  <si>
    <t>140x400 mm</t>
  </si>
  <si>
    <t>140x500 mm</t>
  </si>
  <si>
    <t>140x600 mm</t>
  </si>
  <si>
    <t>140x700 mm</t>
  </si>
  <si>
    <t>140x800 mm</t>
  </si>
  <si>
    <t>160x200 mm</t>
  </si>
  <si>
    <t>160x366 mm</t>
  </si>
  <si>
    <t>160x400 mm</t>
  </si>
  <si>
    <t>160x233 mm</t>
  </si>
  <si>
    <t>160x266 mm</t>
  </si>
  <si>
    <t>160x300 mm</t>
  </si>
  <si>
    <t>160x333 mm</t>
  </si>
  <si>
    <t>160x500 mm</t>
  </si>
  <si>
    <t>160x600 mm</t>
  </si>
  <si>
    <t>160x700 mm</t>
  </si>
  <si>
    <t>160x800 mm</t>
  </si>
  <si>
    <t>160x900 mm</t>
  </si>
  <si>
    <t>160x1000 mm</t>
  </si>
  <si>
    <t xml:space="preserve">A </t>
  </si>
  <si>
    <t>B</t>
  </si>
  <si>
    <t>C</t>
  </si>
  <si>
    <t>D</t>
  </si>
  <si>
    <t>185x233 mm</t>
  </si>
  <si>
    <t>185x266 mm</t>
  </si>
  <si>
    <t>185x300 mm</t>
  </si>
  <si>
    <t>185x366 mm</t>
  </si>
  <si>
    <t>185x400 mm</t>
  </si>
  <si>
    <t>185x500 mm</t>
  </si>
  <si>
    <t>185x600 mm</t>
  </si>
  <si>
    <t>185x700 mm</t>
  </si>
  <si>
    <t>185x800 mm</t>
  </si>
  <si>
    <t xml:space="preserve">185x900 mm </t>
  </si>
  <si>
    <t>185x1000 mm</t>
  </si>
  <si>
    <t>185x200 mm</t>
  </si>
  <si>
    <t>185x333 mm</t>
  </si>
  <si>
    <t>Grå felter er egenindtastning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</si>
</sst>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68" formatCode="0.0000000"/>
  </numFmts>
  <fonts count="7" x14ac:knownFonts="1"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2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vertical="center"/>
    </xf>
    <xf numFmtId="0" fontId="0" fillId="0" borderId="1" xfId="0" applyBorder="1"/>
    <xf numFmtId="165" fontId="0" fillId="0" borderId="1" xfId="0" applyNumberFormat="1" applyBorder="1"/>
    <xf numFmtId="164" fontId="0" fillId="2" borderId="2" xfId="0" applyNumberFormat="1" applyFill="1" applyBorder="1"/>
    <xf numFmtId="0" fontId="0" fillId="0" borderId="2" xfId="0" applyBorder="1"/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1" xfId="0" applyBorder="1" applyAlignment="1">
      <alignment horizontal="right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68" fontId="0" fillId="0" borderId="1" xfId="0" applyNumberFormat="1" applyBorder="1" applyAlignment="1">
      <alignment horizontal="left"/>
    </xf>
    <xf numFmtId="168" fontId="0" fillId="0" borderId="1" xfId="0" applyNumberFormat="1" applyBorder="1"/>
    <xf numFmtId="0" fontId="6" fillId="2" borderId="0" xfId="0" applyFont="1" applyFill="1" applyBorder="1" applyAlignment="1">
      <alignment horizontal="center"/>
    </xf>
    <xf numFmtId="0" fontId="0" fillId="2" borderId="0" xfId="0" applyFill="1"/>
  </cellXfs>
  <cellStyles count="1">
    <cellStyle name="Normal" xfId="0" builtinId="0"/>
  </cellStyles>
  <dxfs count="1"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jp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85725</xdr:colOff>
      <xdr:row>2</xdr:row>
      <xdr:rowOff>85725</xdr:rowOff>
    </xdr:from>
    <xdr:to>
      <xdr:col>8</xdr:col>
      <xdr:colOff>914400</xdr:colOff>
      <xdr:row>7</xdr:row>
      <xdr:rowOff>73718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BDB3EF60-B948-7382-DB72-E321FAA33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9075" y="838200"/>
          <a:ext cx="1095375" cy="940493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66676</xdr:colOff>
      <xdr:row>3</xdr:row>
      <xdr:rowOff>142875</xdr:rowOff>
    </xdr:from>
    <xdr:to>
      <xdr:col>8</xdr:col>
      <xdr:colOff>200025</xdr:colOff>
      <xdr:row>6</xdr:row>
      <xdr:rowOff>0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35333835-D1C1-60CB-DBAB-BF5F8A834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6" y="1085850"/>
          <a:ext cx="133349" cy="4286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142876</xdr:colOff>
      <xdr:row>8</xdr:row>
      <xdr:rowOff>19050</xdr:rowOff>
    </xdr:from>
    <xdr:to>
      <xdr:col>20</xdr:col>
      <xdr:colOff>3216</xdr:colOff>
      <xdr:row>21</xdr:row>
      <xdr:rowOff>0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570C5860-2C6B-DC9B-1943-FA765CED9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15701" y="1914525"/>
          <a:ext cx="2298740" cy="2457450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219074</xdr:colOff>
      <xdr:row>2</xdr:row>
      <xdr:rowOff>90255</xdr:rowOff>
    </xdr:from>
    <xdr:to>
      <xdr:col>7</xdr:col>
      <xdr:colOff>66675</xdr:colOff>
      <xdr:row>7</xdr:row>
      <xdr:rowOff>76200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E100F1BE-9D5E-DBCA-EF0F-F09A0BC5A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49" y="842730"/>
          <a:ext cx="1095376" cy="938445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257175</xdr:colOff>
      <xdr:row>22</xdr:row>
      <xdr:rowOff>57150</xdr:rowOff>
    </xdr:from>
    <xdr:to>
      <xdr:col>15</xdr:col>
      <xdr:colOff>19050</xdr:colOff>
      <xdr:row>35</xdr:row>
      <xdr:rowOff>9525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9EEB197D-F35F-325F-5BF8-019FFDB8F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4850" y="4619625"/>
          <a:ext cx="2200275" cy="2428875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152401</xdr:colOff>
      <xdr:row>8</xdr:row>
      <xdr:rowOff>9525</xdr:rowOff>
    </xdr:from>
    <xdr:to>
      <xdr:col>23</xdr:col>
      <xdr:colOff>590551</xdr:colOff>
      <xdr:row>21</xdr:row>
      <xdr:rowOff>0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2CDF8F48-95D7-7831-C1EB-A8831D7B2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763626" y="1905000"/>
          <a:ext cx="2266950" cy="2466975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  <xdr:twoCellAnchor editAs="oneCell">
    <xdr:from>
      <xdr:col>16</xdr:col>
      <xdr:colOff>142876</xdr:colOff>
      <xdr:row>21</xdr:row>
      <xdr:rowOff>152400</xdr:rowOff>
    </xdr:from>
    <xdr:to>
      <xdr:col>19</xdr:col>
      <xdr:colOff>600076</xdr:colOff>
      <xdr:row>34</xdr:row>
      <xdr:rowOff>161925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7965FACD-E11F-5887-0A7C-5018B04F2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15701" y="4524375"/>
          <a:ext cx="2286000" cy="2486025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152400</xdr:colOff>
      <xdr:row>21</xdr:row>
      <xdr:rowOff>152400</xdr:rowOff>
    </xdr:from>
    <xdr:to>
      <xdr:col>23</xdr:col>
      <xdr:colOff>590550</xdr:colOff>
      <xdr:row>34</xdr:row>
      <xdr:rowOff>161925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AE37B138-1A04-080A-7BE0-E322C6F3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763625" y="4524375"/>
          <a:ext cx="2266950" cy="2486025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  <xdr:twoCellAnchor>
    <xdr:from>
      <xdr:col>14</xdr:col>
      <xdr:colOff>304800</xdr:colOff>
      <xdr:row>13</xdr:row>
      <xdr:rowOff>133350</xdr:rowOff>
    </xdr:from>
    <xdr:to>
      <xdr:col>19</xdr:col>
      <xdr:colOff>38100</xdr:colOff>
      <xdr:row>27</xdr:row>
      <xdr:rowOff>9525</xdr:rowOff>
    </xdr:to>
    <xdr:cxnSp macro="">
      <xdr:nvCxnSpPr>
        <xdr:cNvPr id="7" name="Lige pilforbindelse 6">
          <a:extLst>
            <a:ext uri="{FF2B5EF4-FFF2-40B4-BE49-F238E27FC236}">
              <a16:creationId xmlns:a16="http://schemas.microsoft.com/office/drawing/2014/main" id="{BA086BE4-536D-CC1C-38A7-59EC13525B3F}"/>
            </a:ext>
          </a:extLst>
        </xdr:cNvPr>
        <xdr:cNvCxnSpPr/>
      </xdr:nvCxnSpPr>
      <xdr:spPr>
        <a:xfrm flipV="1">
          <a:off x="10201275" y="2981325"/>
          <a:ext cx="2809875" cy="2543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260959</xdr:colOff>
      <xdr:row>11</xdr:row>
      <xdr:rowOff>22834</xdr:rowOff>
    </xdr:from>
    <xdr:to>
      <xdr:col>18</xdr:col>
      <xdr:colOff>274007</xdr:colOff>
      <xdr:row>19</xdr:row>
      <xdr:rowOff>9786</xdr:rowOff>
    </xdr:to>
    <xdr:cxnSp macro="">
      <xdr:nvCxnSpPr>
        <xdr:cNvPr id="14" name="Lige forbindelse 13">
          <a:extLst>
            <a:ext uri="{FF2B5EF4-FFF2-40B4-BE49-F238E27FC236}">
              <a16:creationId xmlns:a16="http://schemas.microsoft.com/office/drawing/2014/main" id="{EA8ECC66-88D8-7E5D-854B-6604FD8D51C8}"/>
            </a:ext>
          </a:extLst>
        </xdr:cNvPr>
        <xdr:cNvCxnSpPr/>
      </xdr:nvCxnSpPr>
      <xdr:spPr>
        <a:xfrm>
          <a:off x="12636935" y="2479110"/>
          <a:ext cx="13048" cy="1500513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394700</xdr:colOff>
      <xdr:row>10</xdr:row>
      <xdr:rowOff>185934</xdr:rowOff>
    </xdr:from>
    <xdr:to>
      <xdr:col>18</xdr:col>
      <xdr:colOff>260959</xdr:colOff>
      <xdr:row>11</xdr:row>
      <xdr:rowOff>22834</xdr:rowOff>
    </xdr:to>
    <xdr:cxnSp macro="">
      <xdr:nvCxnSpPr>
        <xdr:cNvPr id="19" name="Lige forbindelse 18">
          <a:extLst>
            <a:ext uri="{FF2B5EF4-FFF2-40B4-BE49-F238E27FC236}">
              <a16:creationId xmlns:a16="http://schemas.microsoft.com/office/drawing/2014/main" id="{01B576E7-51DF-7FE3-75B3-F5D6BDE41EBB}"/>
            </a:ext>
          </a:extLst>
        </xdr:cNvPr>
        <xdr:cNvCxnSpPr/>
      </xdr:nvCxnSpPr>
      <xdr:spPr>
        <a:xfrm flipH="1" flipV="1">
          <a:off x="11550693" y="2453014"/>
          <a:ext cx="1086242" cy="26096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456679</xdr:colOff>
      <xdr:row>15</xdr:row>
      <xdr:rowOff>0</xdr:rowOff>
    </xdr:from>
    <xdr:to>
      <xdr:col>19</xdr:col>
      <xdr:colOff>486036</xdr:colOff>
      <xdr:row>19</xdr:row>
      <xdr:rowOff>3262</xdr:rowOff>
    </xdr:to>
    <xdr:cxnSp macro="">
      <xdr:nvCxnSpPr>
        <xdr:cNvPr id="23" name="Lige forbindelse 22">
          <a:extLst>
            <a:ext uri="{FF2B5EF4-FFF2-40B4-BE49-F238E27FC236}">
              <a16:creationId xmlns:a16="http://schemas.microsoft.com/office/drawing/2014/main" id="{9D89683F-99C2-DBA5-95EA-06519F6A3738}"/>
            </a:ext>
          </a:extLst>
        </xdr:cNvPr>
        <xdr:cNvCxnSpPr/>
      </xdr:nvCxnSpPr>
      <xdr:spPr>
        <a:xfrm>
          <a:off x="13442646" y="3213057"/>
          <a:ext cx="29357" cy="760042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381653</xdr:colOff>
      <xdr:row>15</xdr:row>
      <xdr:rowOff>0</xdr:rowOff>
    </xdr:from>
    <xdr:to>
      <xdr:col>19</xdr:col>
      <xdr:colOff>459941</xdr:colOff>
      <xdr:row>15</xdr:row>
      <xdr:rowOff>3261</xdr:rowOff>
    </xdr:to>
    <xdr:cxnSp macro="">
      <xdr:nvCxnSpPr>
        <xdr:cNvPr id="27" name="Lige forbindelse 26">
          <a:extLst>
            <a:ext uri="{FF2B5EF4-FFF2-40B4-BE49-F238E27FC236}">
              <a16:creationId xmlns:a16="http://schemas.microsoft.com/office/drawing/2014/main" id="{FD5942E7-49CE-5A3A-5932-9C330CCC2604}"/>
            </a:ext>
          </a:extLst>
        </xdr:cNvPr>
        <xdr:cNvCxnSpPr/>
      </xdr:nvCxnSpPr>
      <xdr:spPr>
        <a:xfrm flipH="1" flipV="1">
          <a:off x="11537646" y="3213057"/>
          <a:ext cx="1908262" cy="3261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</xdr:colOff>
      <xdr:row>20</xdr:row>
      <xdr:rowOff>104775</xdr:rowOff>
    </xdr:from>
    <xdr:to>
      <xdr:col>13</xdr:col>
      <xdr:colOff>561975</xdr:colOff>
      <xdr:row>33</xdr:row>
      <xdr:rowOff>19050</xdr:rowOff>
    </xdr:to>
    <xdr:cxnSp macro="">
      <xdr:nvCxnSpPr>
        <xdr:cNvPr id="30" name="Lige pilforbindelse 29">
          <a:extLst>
            <a:ext uri="{FF2B5EF4-FFF2-40B4-BE49-F238E27FC236}">
              <a16:creationId xmlns:a16="http://schemas.microsoft.com/office/drawing/2014/main" id="{18C7B937-8CD4-049C-5B84-E3FF09B1DCB2}"/>
            </a:ext>
          </a:extLst>
        </xdr:cNvPr>
        <xdr:cNvCxnSpPr/>
      </xdr:nvCxnSpPr>
      <xdr:spPr>
        <a:xfrm flipH="1" flipV="1">
          <a:off x="3371850" y="4286250"/>
          <a:ext cx="5257800" cy="23907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1</xdr:row>
      <xdr:rowOff>171450</xdr:rowOff>
    </xdr:from>
    <xdr:to>
      <xdr:col>4</xdr:col>
      <xdr:colOff>171222</xdr:colOff>
      <xdr:row>17</xdr:row>
      <xdr:rowOff>37591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333535C6-025B-F1F7-035F-180CDAF4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361950"/>
          <a:ext cx="1761897" cy="2914141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257175</xdr:colOff>
      <xdr:row>1</xdr:row>
      <xdr:rowOff>171450</xdr:rowOff>
    </xdr:from>
    <xdr:to>
      <xdr:col>9</xdr:col>
      <xdr:colOff>202465</xdr:colOff>
      <xdr:row>17</xdr:row>
      <xdr:rowOff>61977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3AE5E335-6399-4028-A0AA-C1D9297E9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14775" y="361950"/>
          <a:ext cx="1774090" cy="2938527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219075</xdr:colOff>
      <xdr:row>1</xdr:row>
      <xdr:rowOff>171450</xdr:rowOff>
    </xdr:from>
    <xdr:to>
      <xdr:col>14</xdr:col>
      <xdr:colOff>164365</xdr:colOff>
      <xdr:row>17</xdr:row>
      <xdr:rowOff>43687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38B4B279-C281-4862-B521-F2B6C5EF8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24675" y="361950"/>
          <a:ext cx="1774090" cy="2920237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  <xdr:twoCellAnchor editAs="oneCell">
    <xdr:from>
      <xdr:col>16</xdr:col>
      <xdr:colOff>400050</xdr:colOff>
      <xdr:row>2</xdr:row>
      <xdr:rowOff>9525</xdr:rowOff>
    </xdr:from>
    <xdr:to>
      <xdr:col>19</xdr:col>
      <xdr:colOff>351436</xdr:colOff>
      <xdr:row>17</xdr:row>
      <xdr:rowOff>72262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10A11819-6AF9-4D6F-89C2-876A05593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53650" y="390525"/>
          <a:ext cx="1780186" cy="2920237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571500</xdr:colOff>
      <xdr:row>4</xdr:row>
      <xdr:rowOff>152400</xdr:rowOff>
    </xdr:from>
    <xdr:to>
      <xdr:col>4</xdr:col>
      <xdr:colOff>114366</xdr:colOff>
      <xdr:row>8</xdr:row>
      <xdr:rowOff>164659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7C80DC9F-C565-CCD3-F81A-59ECEE42D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90700" y="914400"/>
          <a:ext cx="762066" cy="774259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571501</xdr:colOff>
      <xdr:row>4</xdr:row>
      <xdr:rowOff>114301</xdr:rowOff>
    </xdr:from>
    <xdr:to>
      <xdr:col>14</xdr:col>
      <xdr:colOff>95251</xdr:colOff>
      <xdr:row>8</xdr:row>
      <xdr:rowOff>95251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511001E0-8D5B-4C6C-9E10-E8D8BB9F2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1" y="876301"/>
          <a:ext cx="742950" cy="7429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133349</xdr:colOff>
      <xdr:row>4</xdr:row>
      <xdr:rowOff>142875</xdr:rowOff>
    </xdr:from>
    <xdr:to>
      <xdr:col>19</xdr:col>
      <xdr:colOff>295274</xdr:colOff>
      <xdr:row>8</xdr:row>
      <xdr:rowOff>152400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7E75FC0F-564B-41C7-B221-60098B8BE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06149" y="904875"/>
          <a:ext cx="771525" cy="7715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</xdr:row>
      <xdr:rowOff>12762</xdr:rowOff>
    </xdr:from>
    <xdr:to>
      <xdr:col>9</xdr:col>
      <xdr:colOff>136072</xdr:colOff>
      <xdr:row>9</xdr:row>
      <xdr:rowOff>27213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075B7449-07DC-EE7B-F022-6BDE306FA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71" y="965262"/>
          <a:ext cx="748394" cy="776451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05D86-3855-4D41-96AC-CD559340D44C}">
  <sheetPr>
    <tabColor theme="4" tint="0.39997558519241921"/>
  </sheetPr>
  <dimension ref="A1:X87"/>
  <sheetViews>
    <sheetView tabSelected="1" zoomScaleNormal="100" workbookViewId="0">
      <selection activeCell="F21" sqref="F21"/>
    </sheetView>
  </sheetViews>
  <sheetFormatPr defaultRowHeight="15" x14ac:dyDescent="0.25"/>
  <cols>
    <col min="1" max="1" width="3.85546875" customWidth="1"/>
    <col min="6" max="6" width="9.5703125" bestFit="1" customWidth="1"/>
    <col min="8" max="8" width="4" customWidth="1"/>
    <col min="9" max="9" width="25.85546875" customWidth="1"/>
    <col min="11" max="11" width="9.42578125" customWidth="1"/>
    <col min="13" max="13" width="4.28515625" customWidth="1"/>
    <col min="14" max="14" width="27.42578125" customWidth="1"/>
    <col min="16" max="16" width="9.5703125" bestFit="1" customWidth="1"/>
  </cols>
  <sheetData>
    <row r="1" spans="1:24" ht="36" x14ac:dyDescent="0.55000000000000004">
      <c r="A1" s="15" t="s">
        <v>9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</row>
    <row r="2" spans="1:24" ht="23.25" x14ac:dyDescent="0.35">
      <c r="A2" s="16" t="s">
        <v>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4" x14ac:dyDescent="0.25">
      <c r="A3" s="10" t="s">
        <v>53</v>
      </c>
      <c r="B3" s="12" t="s">
        <v>3</v>
      </c>
      <c r="C3" s="12"/>
      <c r="D3" s="5">
        <v>4.125</v>
      </c>
      <c r="E3" s="6" t="s">
        <v>4</v>
      </c>
      <c r="K3" t="s">
        <v>2</v>
      </c>
    </row>
    <row r="4" spans="1:24" x14ac:dyDescent="0.25">
      <c r="A4" s="7" t="s">
        <v>54</v>
      </c>
      <c r="B4" s="11" t="s">
        <v>1</v>
      </c>
      <c r="C4" s="12"/>
      <c r="D4" s="5">
        <v>3.141</v>
      </c>
      <c r="E4" s="3" t="s">
        <v>4</v>
      </c>
    </row>
    <row r="5" spans="1:24" x14ac:dyDescent="0.25">
      <c r="A5" s="1"/>
      <c r="K5" t="s">
        <v>10</v>
      </c>
    </row>
    <row r="6" spans="1:24" x14ac:dyDescent="0.25">
      <c r="A6" s="7" t="s">
        <v>55</v>
      </c>
      <c r="B6" s="8" t="s">
        <v>5</v>
      </c>
      <c r="C6" s="3"/>
      <c r="D6" s="4">
        <f>D3*1.07</f>
        <v>4.4137500000000003</v>
      </c>
      <c r="E6" s="3" t="s">
        <v>4</v>
      </c>
    </row>
    <row r="7" spans="1:24" x14ac:dyDescent="0.25">
      <c r="A7" s="7" t="s">
        <v>56</v>
      </c>
      <c r="B7" s="13" t="s">
        <v>6</v>
      </c>
      <c r="C7" s="13"/>
      <c r="D7" s="4">
        <f>ROUNDUP(D4, 1)</f>
        <v>3.2</v>
      </c>
      <c r="E7" s="3" t="s">
        <v>4</v>
      </c>
      <c r="K7" t="s">
        <v>7</v>
      </c>
    </row>
    <row r="8" spans="1:24" x14ac:dyDescent="0.25">
      <c r="A8" s="1"/>
    </row>
    <row r="9" spans="1:24" x14ac:dyDescent="0.25">
      <c r="A9" s="7">
        <v>1</v>
      </c>
      <c r="B9" s="14" t="str">
        <f>IF(F9&gt;=D7, "90x100 mm", "")</f>
        <v/>
      </c>
      <c r="C9" s="14"/>
      <c r="D9" s="14"/>
      <c r="E9" s="9" t="s">
        <v>13</v>
      </c>
      <c r="F9" s="17">
        <f>(16.9110633771)*(0.277924568976^D6)</f>
        <v>5.9402326168871519E-2</v>
      </c>
      <c r="H9" s="7">
        <v>1</v>
      </c>
      <c r="I9" s="7" t="s">
        <v>14</v>
      </c>
      <c r="J9" s="9" t="s">
        <v>13</v>
      </c>
      <c r="K9" s="17">
        <f>(24.1264124608)*(0.370107172487^D6)</f>
        <v>0.30005319688571469</v>
      </c>
      <c r="M9" s="7">
        <v>1</v>
      </c>
      <c r="N9" s="7" t="s">
        <v>28</v>
      </c>
      <c r="O9" s="9" t="s">
        <v>13</v>
      </c>
      <c r="P9" s="17">
        <f>(16.9110633771)*(0.277924568976^D6)</f>
        <v>5.9402326168871519E-2</v>
      </c>
    </row>
    <row r="10" spans="1:24" x14ac:dyDescent="0.25">
      <c r="A10" s="7">
        <v>2</v>
      </c>
      <c r="B10" s="14" t="str">
        <f>IF(F10&gt;=D7, "90x133 mm", "")</f>
        <v/>
      </c>
      <c r="C10" s="14"/>
      <c r="D10" s="14"/>
      <c r="E10" s="9" t="s">
        <v>13</v>
      </c>
      <c r="F10" s="17">
        <f>17.9056874163*(0.370107172487^D6)</f>
        <v>0.22268784306106393</v>
      </c>
      <c r="H10" s="7">
        <v>2</v>
      </c>
      <c r="I10" s="7" t="s">
        <v>15</v>
      </c>
      <c r="J10" s="9" t="s">
        <v>13</v>
      </c>
      <c r="K10" s="17">
        <f>(28.5053206145)*(0.430700968949^D6)</f>
        <v>0.69226054944598048</v>
      </c>
      <c r="M10" s="7">
        <v>2</v>
      </c>
      <c r="N10" s="7" t="s">
        <v>29</v>
      </c>
      <c r="O10" s="9" t="s">
        <v>13</v>
      </c>
      <c r="P10" s="17">
        <f>(16.9110633771)*(0.277924568976^D6)</f>
        <v>5.9402326168871519E-2</v>
      </c>
    </row>
    <row r="11" spans="1:24" x14ac:dyDescent="0.25">
      <c r="A11" s="7">
        <v>3</v>
      </c>
      <c r="B11" s="14" t="str">
        <f>IF(F11&gt;=D7, "90x166 mm", "")</f>
        <v/>
      </c>
      <c r="C11" s="14"/>
      <c r="D11" s="14"/>
      <c r="E11" s="9" t="s">
        <v>13</v>
      </c>
      <c r="F11" s="17">
        <f>21.6944401237*(0.424491047914^D6)</f>
        <v>0.49414362482657237</v>
      </c>
      <c r="H11" s="7">
        <v>3</v>
      </c>
      <c r="I11" s="7" t="s">
        <v>16</v>
      </c>
      <c r="J11" s="9" t="s">
        <v>13</v>
      </c>
      <c r="K11" s="17">
        <f>(22.5795135657)*(0.515487732405^D6)</f>
        <v>1.2120436344047907</v>
      </c>
      <c r="M11" s="7">
        <v>3</v>
      </c>
      <c r="N11" s="7" t="s">
        <v>30</v>
      </c>
      <c r="O11" s="9" t="s">
        <v>13</v>
      </c>
      <c r="P11" s="17">
        <f>(16.9110633771)*(0.277924568976^D6)</f>
        <v>5.9402326168871519E-2</v>
      </c>
    </row>
    <row r="12" spans="1:24" x14ac:dyDescent="0.25">
      <c r="A12" s="7">
        <v>4</v>
      </c>
      <c r="B12" s="14" t="str">
        <f>IF(F12&gt;=D7, "90x200 mm", "")</f>
        <v/>
      </c>
      <c r="C12" s="14"/>
      <c r="D12" s="14"/>
      <c r="E12" s="9" t="s">
        <v>13</v>
      </c>
      <c r="F12" s="17">
        <f>20.7846096908*(0.491657310519^D6)</f>
        <v>0.9053515256283523</v>
      </c>
      <c r="H12" s="7">
        <v>4</v>
      </c>
      <c r="I12" s="7" t="s">
        <v>17</v>
      </c>
      <c r="J12" s="9" t="s">
        <v>13</v>
      </c>
      <c r="K12" s="17">
        <f>(24.015131503)*(0.56108365474^D6)</f>
        <v>1.8739397110171216</v>
      </c>
      <c r="M12" s="7">
        <v>4</v>
      </c>
      <c r="N12" s="7" t="s">
        <v>31</v>
      </c>
      <c r="O12" s="9" t="s">
        <v>13</v>
      </c>
      <c r="P12" s="17">
        <f>(16.9110633771)*(0.277924568976^D6)</f>
        <v>5.9402326168871519E-2</v>
      </c>
    </row>
    <row r="13" spans="1:24" x14ac:dyDescent="0.25">
      <c r="A13" s="7">
        <v>5</v>
      </c>
      <c r="B13" s="14" t="str">
        <f>IF(F13&gt;=D7, "90x233 mm", "")</f>
        <v/>
      </c>
      <c r="C13" s="14"/>
      <c r="D13" s="14"/>
      <c r="E13" s="9" t="s">
        <v>13</v>
      </c>
      <c r="F13" s="17">
        <f>18.9784016105*(0.545487825164^D6)</f>
        <v>1.3076595800373174</v>
      </c>
      <c r="H13" s="7">
        <v>5</v>
      </c>
      <c r="I13" s="7" t="s">
        <v>22</v>
      </c>
      <c r="J13" s="9" t="s">
        <v>13</v>
      </c>
      <c r="K13" s="17">
        <f>(26.3674260942)*(0.589368565879^D6)</f>
        <v>2.5563082491579765</v>
      </c>
      <c r="M13" s="7">
        <v>5</v>
      </c>
      <c r="N13" s="7" t="s">
        <v>32</v>
      </c>
      <c r="O13" s="9" t="s">
        <v>13</v>
      </c>
      <c r="P13" s="17">
        <f>(16.9110633771)*(0.277924568976^D6)</f>
        <v>5.9402326168871519E-2</v>
      </c>
    </row>
    <row r="14" spans="1:24" x14ac:dyDescent="0.25">
      <c r="A14" s="7">
        <v>6</v>
      </c>
      <c r="B14" s="14" t="str">
        <f>IF(F14&gt;=D7, "90x266 mm", "")</f>
        <v/>
      </c>
      <c r="C14" s="14"/>
      <c r="D14" s="14"/>
      <c r="E14" s="9" t="s">
        <v>13</v>
      </c>
      <c r="F14" s="17">
        <f>17.79447973081*(0.595896142071^D6)</f>
        <v>1.8111082738815973</v>
      </c>
      <c r="H14" s="7">
        <v>6</v>
      </c>
      <c r="I14" s="7" t="s">
        <v>23</v>
      </c>
      <c r="J14" s="9" t="s">
        <v>13</v>
      </c>
      <c r="K14" s="17">
        <f>(23.2699562308)*(0.636480683748^D6)</f>
        <v>3.1677625228763175</v>
      </c>
      <c r="M14" s="7">
        <v>6</v>
      </c>
      <c r="N14" s="7" t="s">
        <v>33</v>
      </c>
      <c r="O14" s="9" t="s">
        <v>13</v>
      </c>
      <c r="P14" s="17">
        <f>(16.9110633771)*(0.277924568976^D6)</f>
        <v>5.9402326168871519E-2</v>
      </c>
    </row>
    <row r="15" spans="1:24" x14ac:dyDescent="0.25">
      <c r="A15" s="7">
        <v>7</v>
      </c>
      <c r="B15" s="14" t="str">
        <f>IF(F15&gt;=D7&lt;F16&gt;F14, "90x300 mm", "")</f>
        <v>90x300 mm</v>
      </c>
      <c r="C15" s="14"/>
      <c r="D15" s="14"/>
      <c r="E15" s="9" t="s">
        <v>13</v>
      </c>
      <c r="F15" s="17">
        <f>16.236958036*(0.660469462803^D6)</f>
        <v>2.6024339188860712</v>
      </c>
      <c r="H15" s="7">
        <v>7</v>
      </c>
      <c r="I15" s="7" t="s">
        <v>24</v>
      </c>
      <c r="J15" s="9" t="s">
        <v>13</v>
      </c>
      <c r="K15" s="17">
        <f>(29.0413146287)*(0.620104874133^D6)</f>
        <v>3.5237842136589674</v>
      </c>
      <c r="M15" s="7">
        <v>7</v>
      </c>
      <c r="N15" s="7" t="s">
        <v>34</v>
      </c>
      <c r="O15" s="9" t="s">
        <v>13</v>
      </c>
      <c r="P15" s="17">
        <f>(16.9110633771)*(0.277924568976^D6)</f>
        <v>5.9402326168871519E-2</v>
      </c>
    </row>
    <row r="16" spans="1:24" x14ac:dyDescent="0.25">
      <c r="A16" s="7">
        <v>8</v>
      </c>
      <c r="B16" s="14" t="s">
        <v>11</v>
      </c>
      <c r="C16" s="14"/>
      <c r="D16" s="14"/>
      <c r="E16" s="9" t="s">
        <v>13</v>
      </c>
      <c r="F16" s="17">
        <f>18.3562012765*(0.660901076083^D6)</f>
        <v>2.9505984299261487</v>
      </c>
      <c r="H16" s="7">
        <v>8</v>
      </c>
      <c r="I16" s="7" t="s">
        <v>25</v>
      </c>
      <c r="J16" s="9" t="s">
        <v>13</v>
      </c>
      <c r="K16" s="17">
        <f>(26.237056784)*(0.678231459214^D6)</f>
        <v>4.727803905912066</v>
      </c>
      <c r="M16" s="7">
        <v>8</v>
      </c>
      <c r="N16" s="7" t="s">
        <v>35</v>
      </c>
      <c r="O16" s="9" t="s">
        <v>13</v>
      </c>
      <c r="P16" s="17">
        <f>(16.9110633771)*(0.277924568976^D6)</f>
        <v>5.9402326168871519E-2</v>
      </c>
    </row>
    <row r="17" spans="1:16" x14ac:dyDescent="0.25">
      <c r="A17" s="7">
        <v>9</v>
      </c>
      <c r="B17" s="14" t="str">
        <f>IF(F17&gt;=D7, "90x366 mm", "")</f>
        <v>90x366 mm</v>
      </c>
      <c r="C17" s="14"/>
      <c r="D17" s="14"/>
      <c r="E17" s="9" t="s">
        <v>13</v>
      </c>
      <c r="F17" s="17">
        <f>17.8787416742*(0.686258426251^D6)</f>
        <v>3.3933955900501744</v>
      </c>
      <c r="H17" s="7">
        <v>9</v>
      </c>
      <c r="I17" s="7" t="s">
        <v>26</v>
      </c>
      <c r="J17" s="9" t="s">
        <v>13</v>
      </c>
      <c r="K17" s="17">
        <f>(23.8614256033)*(0.708131177439^D6)</f>
        <v>5.2015862042292191</v>
      </c>
      <c r="M17" s="7">
        <v>9</v>
      </c>
      <c r="N17" s="7" t="s">
        <v>36</v>
      </c>
      <c r="O17" s="9" t="s">
        <v>13</v>
      </c>
      <c r="P17" s="17">
        <f>(16.9110633771)*(0.277924568976^D6)</f>
        <v>5.9402326168871519E-2</v>
      </c>
    </row>
    <row r="18" spans="1:16" x14ac:dyDescent="0.25">
      <c r="A18" s="7">
        <v>10</v>
      </c>
      <c r="B18" s="14" t="str">
        <f>IF(D7&lt;=F18, "90x400 mm", "")</f>
        <v>90x400 mm</v>
      </c>
      <c r="C18" s="14"/>
      <c r="D18" s="14"/>
      <c r="E18" s="9" t="s">
        <v>13</v>
      </c>
      <c r="F18" s="17">
        <f>18.5537121914*(0.702728611138^D6)</f>
        <v>3.9101169168138452</v>
      </c>
      <c r="H18" s="7">
        <v>10</v>
      </c>
      <c r="I18" s="7" t="s">
        <v>18</v>
      </c>
      <c r="J18" s="9" t="s">
        <v>13</v>
      </c>
      <c r="K18" s="17">
        <f>(25.3043397457)*(0.749879097598^D6)</f>
        <v>7.1029315784352143</v>
      </c>
      <c r="M18" s="7">
        <v>10</v>
      </c>
      <c r="N18" s="7" t="s">
        <v>37</v>
      </c>
      <c r="O18" s="9" t="s">
        <v>13</v>
      </c>
      <c r="P18" s="17">
        <f>(16.9110633771)*(0.277924568976^D6)</f>
        <v>5.9402326168871519E-2</v>
      </c>
    </row>
    <row r="19" spans="1:16" x14ac:dyDescent="0.25">
      <c r="A19" s="7">
        <v>11</v>
      </c>
      <c r="B19" s="14" t="s">
        <v>12</v>
      </c>
      <c r="C19" s="14"/>
      <c r="D19" s="14"/>
      <c r="E19" s="9" t="s">
        <v>13</v>
      </c>
      <c r="F19" s="17">
        <f>17.4070272012*(0.76101189799^D6)</f>
        <v>5.2145412360345462</v>
      </c>
      <c r="H19" s="7">
        <v>11</v>
      </c>
      <c r="I19" s="7" t="s">
        <v>19</v>
      </c>
      <c r="J19" s="9" t="s">
        <v>13</v>
      </c>
      <c r="K19" s="17">
        <f>(25.1031256786)*(0.786200567449^D6)</f>
        <v>8.6823669518483992</v>
      </c>
      <c r="M19" s="7">
        <v>11</v>
      </c>
      <c r="N19" s="7" t="s">
        <v>38</v>
      </c>
      <c r="O19" s="9" t="s">
        <v>13</v>
      </c>
      <c r="P19" s="17">
        <f>(16.9110633771)*(0.277924568976^D6)</f>
        <v>5.9402326168871519E-2</v>
      </c>
    </row>
    <row r="20" spans="1:16" x14ac:dyDescent="0.25">
      <c r="A20" s="7">
        <v>12</v>
      </c>
      <c r="B20" s="14" t="str">
        <f>IF(D7&lt;=F20, "90x600 mm", "")</f>
        <v>90x600 mm</v>
      </c>
      <c r="C20" s="14"/>
      <c r="D20" s="14"/>
      <c r="E20" s="9" t="s">
        <v>13</v>
      </c>
      <c r="F20" s="17">
        <f>14.9383342055*(0.821875914759^D6)</f>
        <v>6.284609144166601</v>
      </c>
      <c r="H20" s="7">
        <v>12</v>
      </c>
      <c r="I20" s="7" t="s">
        <v>20</v>
      </c>
      <c r="J20" s="9" t="s">
        <v>13</v>
      </c>
      <c r="K20" s="17">
        <f>(18.7347869746)*(0.864177358287^D6)</f>
        <v>9.8362540291678506</v>
      </c>
      <c r="M20" s="7">
        <v>12</v>
      </c>
      <c r="N20" s="7" t="s">
        <v>39</v>
      </c>
      <c r="O20" s="9" t="s">
        <v>13</v>
      </c>
      <c r="P20" s="17">
        <f>(16.9110633771)*(0.277924568976^D6)</f>
        <v>5.9402326168871519E-2</v>
      </c>
    </row>
    <row r="21" spans="1:16" x14ac:dyDescent="0.25">
      <c r="A21" s="7">
        <v>13</v>
      </c>
      <c r="B21" s="14" t="str">
        <f>IF(D7&lt;=F21, "90x700 mm", "")</f>
        <v>90x700 mm</v>
      </c>
      <c r="C21" s="14"/>
      <c r="D21" s="14"/>
      <c r="E21" s="9" t="s">
        <v>13</v>
      </c>
      <c r="F21" s="17">
        <f>13.4538178178572*(0.861105994109^D6)</f>
        <v>6.9534712795467613</v>
      </c>
      <c r="H21" s="7">
        <v>13</v>
      </c>
      <c r="I21" s="7" t="s">
        <v>21</v>
      </c>
      <c r="J21" s="9" t="s">
        <v>13</v>
      </c>
      <c r="K21" s="17">
        <f>(18.9857614328)*(0.864318535631^D6)</f>
        <v>9.9752117163725273</v>
      </c>
      <c r="M21" s="7">
        <v>13</v>
      </c>
      <c r="N21" s="7" t="s">
        <v>27</v>
      </c>
      <c r="O21" s="9" t="s">
        <v>13</v>
      </c>
      <c r="P21" s="17">
        <f>(16.9110633771)*(0.277924568976^D6)</f>
        <v>5.9402326168871519E-2</v>
      </c>
    </row>
    <row r="23" spans="1:16" x14ac:dyDescent="0.25">
      <c r="A23" s="7">
        <v>1</v>
      </c>
      <c r="B23" s="14" t="s">
        <v>40</v>
      </c>
      <c r="C23" s="14"/>
      <c r="D23" s="14"/>
      <c r="E23" s="9" t="s">
        <v>13</v>
      </c>
      <c r="F23" s="18">
        <f>(16.9110633771)*(0.277924568976^D6)</f>
        <v>5.9402326168871519E-2</v>
      </c>
      <c r="H23" s="7">
        <v>1</v>
      </c>
      <c r="I23" s="7" t="s">
        <v>68</v>
      </c>
      <c r="J23" s="9" t="s">
        <v>13</v>
      </c>
      <c r="K23" s="3">
        <f>(16.9110633771)*(0.277924568976^D6)</f>
        <v>5.9402326168871519E-2</v>
      </c>
    </row>
    <row r="24" spans="1:16" x14ac:dyDescent="0.25">
      <c r="A24" s="7">
        <v>2</v>
      </c>
      <c r="B24" s="14" t="s">
        <v>43</v>
      </c>
      <c r="C24" s="14"/>
      <c r="D24" s="14"/>
      <c r="E24" s="9" t="s">
        <v>13</v>
      </c>
      <c r="F24" s="18">
        <f>(16.9110633771)*(0.277924568976^D6)</f>
        <v>5.9402326168871519E-2</v>
      </c>
      <c r="H24" s="7">
        <v>2</v>
      </c>
      <c r="I24" s="7" t="s">
        <v>57</v>
      </c>
      <c r="J24" s="9" t="s">
        <v>13</v>
      </c>
      <c r="K24" s="3">
        <f>(16.9110633771)*(0.277924568976^D6)</f>
        <v>5.9402326168871519E-2</v>
      </c>
    </row>
    <row r="25" spans="1:16" x14ac:dyDescent="0.25">
      <c r="A25" s="7">
        <v>3</v>
      </c>
      <c r="B25" s="14" t="s">
        <v>44</v>
      </c>
      <c r="C25" s="14"/>
      <c r="D25" s="14"/>
      <c r="E25" s="9" t="s">
        <v>13</v>
      </c>
      <c r="F25" s="18">
        <f>(16.9110633771)*(0.277924568976^D6)</f>
        <v>5.9402326168871519E-2</v>
      </c>
      <c r="H25" s="7">
        <v>3</v>
      </c>
      <c r="I25" s="7" t="s">
        <v>58</v>
      </c>
      <c r="J25" s="9" t="s">
        <v>13</v>
      </c>
      <c r="K25" s="3">
        <f>(16.9110633771)*(0.277924568976^D6)</f>
        <v>5.9402326168871519E-2</v>
      </c>
    </row>
    <row r="26" spans="1:16" x14ac:dyDescent="0.25">
      <c r="A26" s="7">
        <v>4</v>
      </c>
      <c r="B26" s="14" t="s">
        <v>45</v>
      </c>
      <c r="C26" s="14"/>
      <c r="D26" s="14"/>
      <c r="E26" s="9" t="s">
        <v>13</v>
      </c>
      <c r="F26" s="18">
        <f>(16.9110633771)*(0.277924568976^D6)</f>
        <v>5.9402326168871519E-2</v>
      </c>
      <c r="H26" s="7">
        <v>4</v>
      </c>
      <c r="I26" s="7" t="s">
        <v>59</v>
      </c>
      <c r="J26" s="9" t="s">
        <v>13</v>
      </c>
      <c r="K26" s="3">
        <f>(16.9110633771)*(0.277924568976^D6)</f>
        <v>5.9402326168871519E-2</v>
      </c>
    </row>
    <row r="27" spans="1:16" x14ac:dyDescent="0.25">
      <c r="A27" s="7">
        <v>5</v>
      </c>
      <c r="B27" s="14" t="s">
        <v>46</v>
      </c>
      <c r="C27" s="14"/>
      <c r="D27" s="14"/>
      <c r="E27" s="9" t="s">
        <v>13</v>
      </c>
      <c r="F27" s="18">
        <f>(16.9110633771)*(0.277924568976^D6)</f>
        <v>5.9402326168871519E-2</v>
      </c>
      <c r="H27" s="7">
        <v>5</v>
      </c>
      <c r="I27" s="1" t="s">
        <v>69</v>
      </c>
      <c r="J27" s="9" t="s">
        <v>13</v>
      </c>
      <c r="K27" s="3">
        <f>(16.9110633771)*(0.277924568976^D6)</f>
        <v>5.9402326168871519E-2</v>
      </c>
    </row>
    <row r="28" spans="1:16" x14ac:dyDescent="0.25">
      <c r="A28" s="7">
        <v>6</v>
      </c>
      <c r="B28" s="14" t="s">
        <v>41</v>
      </c>
      <c r="C28" s="14"/>
      <c r="D28" s="14"/>
      <c r="E28" s="9" t="s">
        <v>13</v>
      </c>
      <c r="F28" s="18">
        <f>(16.9110633771)*(0.277924568976^D6)</f>
        <v>5.9402326168871519E-2</v>
      </c>
      <c r="H28" s="7">
        <v>6</v>
      </c>
      <c r="I28" s="7" t="s">
        <v>60</v>
      </c>
      <c r="J28" s="9" t="s">
        <v>13</v>
      </c>
      <c r="K28" s="3">
        <f>(16.9110633771)*(0.277924568976^D6)</f>
        <v>5.9402326168871519E-2</v>
      </c>
    </row>
    <row r="29" spans="1:16" x14ac:dyDescent="0.25">
      <c r="A29" s="7">
        <v>7</v>
      </c>
      <c r="B29" s="14" t="s">
        <v>42</v>
      </c>
      <c r="C29" s="14"/>
      <c r="D29" s="14"/>
      <c r="E29" s="9" t="s">
        <v>13</v>
      </c>
      <c r="F29" s="18">
        <f>(16.9110633771)*(0.277924568976^D6)</f>
        <v>5.9402326168871519E-2</v>
      </c>
      <c r="H29" s="7">
        <v>7</v>
      </c>
      <c r="I29" s="7" t="s">
        <v>61</v>
      </c>
      <c r="J29" s="9" t="s">
        <v>13</v>
      </c>
      <c r="K29" s="3">
        <f>(16.9110633771)*(0.277924568976^D6)</f>
        <v>5.9402326168871519E-2</v>
      </c>
    </row>
    <row r="30" spans="1:16" x14ac:dyDescent="0.25">
      <c r="A30" s="7">
        <v>8</v>
      </c>
      <c r="B30" s="14" t="s">
        <v>47</v>
      </c>
      <c r="C30" s="14"/>
      <c r="D30" s="14"/>
      <c r="E30" s="9" t="s">
        <v>13</v>
      </c>
      <c r="F30" s="18">
        <f>(16.9110633771)*(0.277924568976^D6)</f>
        <v>5.9402326168871519E-2</v>
      </c>
      <c r="H30" s="7">
        <v>8</v>
      </c>
      <c r="I30" s="7" t="s">
        <v>62</v>
      </c>
      <c r="J30" s="9" t="s">
        <v>13</v>
      </c>
      <c r="K30" s="3">
        <f>(16.9110633771)*(0.277924568976^D6)</f>
        <v>5.9402326168871519E-2</v>
      </c>
    </row>
    <row r="31" spans="1:16" x14ac:dyDescent="0.25">
      <c r="A31" s="7">
        <v>9</v>
      </c>
      <c r="B31" s="14" t="s">
        <v>48</v>
      </c>
      <c r="C31" s="14"/>
      <c r="D31" s="14"/>
      <c r="E31" s="9" t="s">
        <v>13</v>
      </c>
      <c r="F31" s="18">
        <f>(16.9110633771)*(0.277924568976^D6)</f>
        <v>5.9402326168871519E-2</v>
      </c>
      <c r="H31" s="7">
        <v>9</v>
      </c>
      <c r="I31" s="7" t="s">
        <v>63</v>
      </c>
      <c r="J31" s="9" t="s">
        <v>13</v>
      </c>
      <c r="K31" s="3">
        <f>(16.9110633771)*(0.277924568976^D6)</f>
        <v>5.9402326168871519E-2</v>
      </c>
    </row>
    <row r="32" spans="1:16" x14ac:dyDescent="0.25">
      <c r="A32" s="7">
        <v>10</v>
      </c>
      <c r="B32" s="14" t="s">
        <v>49</v>
      </c>
      <c r="C32" s="14"/>
      <c r="D32" s="14"/>
      <c r="E32" s="9" t="s">
        <v>13</v>
      </c>
      <c r="F32" s="18">
        <f>(16.9110633771)*(0.277924568976^D6)</f>
        <v>5.9402326168871519E-2</v>
      </c>
      <c r="H32" s="7">
        <v>10</v>
      </c>
      <c r="I32" s="7" t="s">
        <v>64</v>
      </c>
      <c r="J32" s="9" t="s">
        <v>13</v>
      </c>
      <c r="K32" s="3">
        <f>(16.9110633771)*(0.277924568976^D6)</f>
        <v>5.9402326168871519E-2</v>
      </c>
    </row>
    <row r="33" spans="1:11" x14ac:dyDescent="0.25">
      <c r="A33" s="7">
        <v>11</v>
      </c>
      <c r="B33" s="14" t="s">
        <v>50</v>
      </c>
      <c r="C33" s="14"/>
      <c r="D33" s="14"/>
      <c r="E33" s="9" t="s">
        <v>13</v>
      </c>
      <c r="F33" s="18">
        <f>(16.9110633771)*(0.277924568976^D6)</f>
        <v>5.9402326168871519E-2</v>
      </c>
      <c r="H33" s="7">
        <v>11</v>
      </c>
      <c r="I33" s="7" t="s">
        <v>65</v>
      </c>
      <c r="J33" s="9" t="s">
        <v>13</v>
      </c>
      <c r="K33" s="3">
        <f>(16.9110633771)*(0.277924568976^D6)</f>
        <v>5.9402326168871519E-2</v>
      </c>
    </row>
    <row r="34" spans="1:11" x14ac:dyDescent="0.25">
      <c r="A34" s="7">
        <v>12</v>
      </c>
      <c r="B34" s="14" t="s">
        <v>51</v>
      </c>
      <c r="C34" s="14"/>
      <c r="D34" s="14"/>
      <c r="E34" s="9" t="s">
        <v>13</v>
      </c>
      <c r="F34" s="18">
        <f>(16.9110633771)*(0.277924568976^D6)</f>
        <v>5.9402326168871519E-2</v>
      </c>
      <c r="H34" s="7">
        <v>12</v>
      </c>
      <c r="I34" s="7" t="s">
        <v>66</v>
      </c>
      <c r="J34" s="9" t="s">
        <v>13</v>
      </c>
      <c r="K34" s="3">
        <f>(16.9110633771)*(0.277924568976^D6)</f>
        <v>5.9402326168871519E-2</v>
      </c>
    </row>
    <row r="35" spans="1:11" x14ac:dyDescent="0.25">
      <c r="A35" s="7">
        <v>13</v>
      </c>
      <c r="B35" s="14" t="s">
        <v>52</v>
      </c>
      <c r="C35" s="14"/>
      <c r="D35" s="14"/>
      <c r="E35" s="9" t="s">
        <v>13</v>
      </c>
      <c r="F35" s="18">
        <f>(16.9110633771)*(0.277924568976^D6)</f>
        <v>5.9402326168871519E-2</v>
      </c>
      <c r="H35" s="7">
        <v>13</v>
      </c>
      <c r="I35" s="7" t="s">
        <v>67</v>
      </c>
      <c r="J35" s="9" t="s">
        <v>13</v>
      </c>
      <c r="K35" s="3">
        <f>(16.9110633771)*(0.277924568976^D6)</f>
        <v>5.9402326168871519E-2</v>
      </c>
    </row>
    <row r="38" spans="1:11" ht="33.75" x14ac:dyDescent="0.5">
      <c r="F38" s="20"/>
      <c r="G38" s="20"/>
      <c r="H38" s="20"/>
      <c r="I38" s="19" t="s">
        <v>70</v>
      </c>
      <c r="J38" s="20"/>
      <c r="K38" s="20"/>
    </row>
    <row r="57" spans="8:8" x14ac:dyDescent="0.25">
      <c r="H57" s="2"/>
    </row>
    <row r="87" spans="8:8" x14ac:dyDescent="0.25">
      <c r="H87" t="s">
        <v>8</v>
      </c>
    </row>
  </sheetData>
  <mergeCells count="31">
    <mergeCell ref="A1:X1"/>
    <mergeCell ref="A2:X2"/>
    <mergeCell ref="B31:D31"/>
    <mergeCell ref="B32:D32"/>
    <mergeCell ref="B33:D33"/>
    <mergeCell ref="B20:D20"/>
    <mergeCell ref="B21:D21"/>
    <mergeCell ref="B23:D23"/>
    <mergeCell ref="B24:D24"/>
    <mergeCell ref="B25:D25"/>
    <mergeCell ref="B19:D19"/>
    <mergeCell ref="B9:D9"/>
    <mergeCell ref="B10:D10"/>
    <mergeCell ref="B11:D11"/>
    <mergeCell ref="B12:D12"/>
    <mergeCell ref="B13:D13"/>
    <mergeCell ref="B16:D16"/>
    <mergeCell ref="B17:D17"/>
    <mergeCell ref="B18:D18"/>
    <mergeCell ref="B34:D34"/>
    <mergeCell ref="B35:D35"/>
    <mergeCell ref="B26:D26"/>
    <mergeCell ref="B27:D27"/>
    <mergeCell ref="B28:D28"/>
    <mergeCell ref="B29:D29"/>
    <mergeCell ref="B30:D30"/>
    <mergeCell ref="B4:C4"/>
    <mergeCell ref="B3:C3"/>
    <mergeCell ref="B7:C7"/>
    <mergeCell ref="B14:D14"/>
    <mergeCell ref="B15:D15"/>
  </mergeCells>
  <conditionalFormatting sqref="B9:D21">
    <cfRule type="containsText" dxfId="0" priority="1" operator="containsText" text="Brug anden dimension">
      <formula>NOT(ISERROR(SEARCH("Brug anden dimension",B9)))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0436A-BF94-4CCA-8FD9-B0B7882B3EFC}">
  <sheetPr>
    <tabColor theme="1"/>
  </sheetPr>
  <dimension ref="A1"/>
  <sheetViews>
    <sheetView zoomScale="70" zoomScaleNormal="70" workbookViewId="0">
      <selection activeCell="I29" sqref="I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5963B-31A9-4958-9BE9-8249C85301BD}">
  <sheetPr>
    <tabColor rgb="FF92D050"/>
  </sheetPr>
  <dimension ref="A1"/>
  <sheetViews>
    <sheetView workbookViewId="0">
      <selection activeCell="X25" sqref="X25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Dim. limtræsbjælke</vt:lpstr>
      <vt:lpstr>Dim. stålbjælke</vt:lpstr>
      <vt:lpstr>Dim betonbjælke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Pedersen</dc:creator>
  <cp:lastModifiedBy>Michael Pedersen</cp:lastModifiedBy>
  <dcterms:created xsi:type="dcterms:W3CDTF">2023-12-19T02:53:03Z</dcterms:created>
  <dcterms:modified xsi:type="dcterms:W3CDTF">2023-12-20T13:51:30Z</dcterms:modified>
</cp:coreProperties>
</file>