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0785" yWindow="0" windowWidth="19965" windowHeight="16800" tabRatio="500" firstSheet="1" activeTab="1"/>
  </bookViews>
  <sheets>
    <sheet name="Regningsgrundlag" sheetId="1" r:id="rId1"/>
    <sheet name="Magasinet lokaleleje+tilkøb" sheetId="2" r:id="rId2"/>
    <sheet name="Antal timer i Magasinet" sheetId="3" r:id="rId3"/>
    <sheet name="Magasinet drikkevarer" sheetId="4" r:id="rId4"/>
    <sheet name="Store sal+tilkøb" sheetId="5" r:id="rId5"/>
    <sheet name="Mødelokaler+tilkøb" sheetId="6" r:id="rId6"/>
    <sheet name="Cafe catering" sheetId="7" r:id="rId7"/>
  </sheets>
  <externalReferences>
    <externalReference r:id="rId10"/>
  </externalReference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Alan Askvig</author>
  </authors>
  <commentList>
    <comment ref="A2" authorId="0">
      <text>
        <r>
          <rPr>
            <sz val="9"/>
            <rFont val="Verdana"/>
            <family val="0"/>
          </rPr>
          <t>Dette ark har kontakt oplysninger på kunden. De indtastede data generes automatisk på de efterfølgende ark.
Der er også en total sum for alle ark i filen.</t>
        </r>
      </text>
    </comment>
  </commentList>
</comments>
</file>

<file path=xl/comments3.xml><?xml version="1.0" encoding="utf-8"?>
<comments xmlns="http://schemas.openxmlformats.org/spreadsheetml/2006/main">
  <authors>
    <author>Alan Askvig</author>
  </authors>
  <commentList>
    <comment ref="A2" authorId="0">
      <text>
        <r>
          <rPr>
            <sz val="9"/>
            <rFont val="Verdana"/>
            <family val="0"/>
          </rPr>
          <t xml:space="preserve">Dette ark bruges til at tælle antal brugte timer. Sum af kolonne G og H vises på ark: Magasinet lokaleleje+tilbøb E17 og E18.
Start dato i B4 viser automatisk i B7:48 datoer i en 6 ugers periode.
For at få vist tid efter kl. 24.00 skal der i 'Get in' og 'Get out' cellerne også skrives dato.
Er tidsintervallet den 06/01/2011 kl. 10.00 til 02.00 skrives der i C10 cellen: 06/01/2011 10.00 og i D10 cellen: 07/01/2011 02.00. Det er kun tiden der vises.
</t>
        </r>
      </text>
    </comment>
  </commentList>
</comments>
</file>

<file path=xl/sharedStrings.xml><?xml version="1.0" encoding="utf-8"?>
<sst xmlns="http://schemas.openxmlformats.org/spreadsheetml/2006/main" count="305" uniqueCount="178">
  <si>
    <t>Pris kr.</t>
  </si>
  <si>
    <t xml:space="preserve">Pris kr. </t>
  </si>
  <si>
    <t>Varer</t>
  </si>
  <si>
    <t>1/2 L vand</t>
  </si>
  <si>
    <t>Mixed Drinks</t>
  </si>
  <si>
    <t>1/1 Vin</t>
  </si>
  <si>
    <t>Kaffe pr. pose</t>
  </si>
  <si>
    <t>Ekstra timer lav takst</t>
  </si>
  <si>
    <t>Stort PA</t>
  </si>
  <si>
    <t>Lille PA</t>
  </si>
  <si>
    <t>Front</t>
  </si>
  <si>
    <t>Flygel stemming</t>
  </si>
  <si>
    <t>Omstilling af sceneforkant moduler</t>
  </si>
  <si>
    <t>Tilkøb:</t>
  </si>
  <si>
    <t>Backstage ifb. med arr. på Amfiscenen</t>
  </si>
  <si>
    <t>Antal</t>
  </si>
  <si>
    <t>Antal</t>
  </si>
  <si>
    <t>Snacks</t>
  </si>
  <si>
    <t>Total eksklusive moms</t>
  </si>
  <si>
    <t>Let øl</t>
  </si>
  <si>
    <t>Kildevand</t>
  </si>
  <si>
    <t xml:space="preserve">Andet: </t>
  </si>
  <si>
    <t>Projektor + lærred</t>
  </si>
  <si>
    <t>Total inklusive moms</t>
  </si>
  <si>
    <t>Scene Lys</t>
  </si>
  <si>
    <t>Balkon</t>
  </si>
  <si>
    <t>Antal pers.</t>
  </si>
  <si>
    <t>Antal</t>
  </si>
  <si>
    <t>Vagter (pr. mand pr. time)</t>
  </si>
  <si>
    <t>Billetkontrol  (pr. mand, pr. time)</t>
  </si>
  <si>
    <r>
      <rPr>
        <b/>
        <sz val="10"/>
        <rFont val="Verdana"/>
        <family val="0"/>
      </rPr>
      <t xml:space="preserve">Lokale </t>
    </r>
    <r>
      <rPr>
        <b/>
        <sz val="10"/>
        <rFont val="Verdana"/>
        <family val="0"/>
      </rPr>
      <t>leje:</t>
    </r>
  </si>
  <si>
    <t xml:space="preserve">Ekstra timer høj takst </t>
  </si>
  <si>
    <t>Anden inventar opstilling end standard</t>
  </si>
  <si>
    <t>Headset</t>
  </si>
  <si>
    <t xml:space="preserve">Andet: </t>
  </si>
  <si>
    <t xml:space="preserve">Arrangement: </t>
  </si>
  <si>
    <t>Arrangør:</t>
  </si>
  <si>
    <t>Adresse:</t>
  </si>
  <si>
    <t>Postnummer:</t>
  </si>
  <si>
    <t xml:space="preserve">Arr. kategori: </t>
  </si>
  <si>
    <t>By:</t>
  </si>
  <si>
    <t xml:space="preserve">Web: </t>
  </si>
  <si>
    <t xml:space="preserve">CVR/CPR: </t>
  </si>
  <si>
    <t xml:space="preserve">Mail: </t>
  </si>
  <si>
    <t>I alt kr.</t>
  </si>
  <si>
    <t>Fadøl 0,40 L</t>
  </si>
  <si>
    <t>Sodavand 1/2 L</t>
  </si>
  <si>
    <t>Kildevand 1/2 L</t>
  </si>
  <si>
    <r>
      <t xml:space="preserve">Magasinet </t>
    </r>
    <r>
      <rPr>
        <b/>
        <sz val="10"/>
        <rFont val="Verdana"/>
        <family val="0"/>
      </rPr>
      <t>drikkevarer</t>
    </r>
    <r>
      <rPr>
        <b/>
        <sz val="10"/>
        <rFont val="Verdana"/>
        <family val="0"/>
      </rPr>
      <t xml:space="preserve"> depotpriser</t>
    </r>
  </si>
  <si>
    <t>Magasinet drikkevarer udsalgspriser</t>
  </si>
  <si>
    <t>Mixed Drinks</t>
  </si>
  <si>
    <t>Champagne</t>
  </si>
  <si>
    <t>Varer</t>
  </si>
  <si>
    <t>Andet:</t>
  </si>
  <si>
    <t>Kaffe pr. kop</t>
  </si>
  <si>
    <t>Kaffe pr. kande</t>
  </si>
  <si>
    <t>Vin pr. glas</t>
  </si>
  <si>
    <t>Vin 1/1 flaske</t>
  </si>
  <si>
    <t>Øl pr. flaske 0,33 L</t>
  </si>
  <si>
    <t xml:space="preserve">I alt </t>
  </si>
  <si>
    <r>
      <t xml:space="preserve">Mødelokaler </t>
    </r>
    <r>
      <rPr>
        <b/>
        <sz val="10"/>
        <rFont val="Verdana"/>
        <family val="0"/>
      </rPr>
      <t>leje:</t>
    </r>
  </si>
  <si>
    <t>Andersen</t>
  </si>
  <si>
    <t>Hansen</t>
  </si>
  <si>
    <t>Larsen</t>
  </si>
  <si>
    <t>Nielsen</t>
  </si>
  <si>
    <t>Petersen</t>
  </si>
  <si>
    <t>Projektor + lærred</t>
  </si>
  <si>
    <t>I Kulturmaskinens normale åbningstid</t>
  </si>
  <si>
    <t>Uden for Kulturmaskinens normale åbningstid</t>
  </si>
  <si>
    <t>Ekstra timer 200 kr. pr. Time</t>
  </si>
  <si>
    <t>Fredag og lørdag (16-03 inkl. Rengøring)</t>
  </si>
  <si>
    <t>Klaver stemming</t>
  </si>
  <si>
    <t>PA-anlæg</t>
  </si>
  <si>
    <t>Offentlige arrangementer:</t>
  </si>
  <si>
    <t>Ikke offentlige arrangementer:</t>
  </si>
  <si>
    <t>Kommercielle arrangementer:</t>
  </si>
  <si>
    <t>Tekniker</t>
  </si>
  <si>
    <t>Billetkontrol (pr. mand, pr. time)</t>
  </si>
  <si>
    <t>Afvikler:</t>
  </si>
  <si>
    <t>Kulturmaskinen store sal: lokaleleje + tilkøb</t>
  </si>
  <si>
    <t>Magasinet: drikkevarer</t>
  </si>
  <si>
    <t>Magasinet: lokaleleje + tilkøb</t>
  </si>
  <si>
    <t>Kulturmaskinen: mødelokaler + tilkøb</t>
  </si>
  <si>
    <t>Antal timer</t>
  </si>
  <si>
    <t>Dato</t>
  </si>
  <si>
    <t>Get in kl.</t>
  </si>
  <si>
    <t>Get out kl.</t>
  </si>
  <si>
    <t xml:space="preserve">Regningsgrundlag for Magasinet og Kulturmaskinen  </t>
  </si>
  <si>
    <t>Total antal timer</t>
  </si>
  <si>
    <t>Pris pr. enhed kr.</t>
  </si>
  <si>
    <t>Te pr. Kande</t>
  </si>
  <si>
    <t>Te pr. kande</t>
  </si>
  <si>
    <t>Første 5 timer</t>
  </si>
  <si>
    <t>Ekstra Timer</t>
  </si>
  <si>
    <t>Antal timer brugt i Magasinet</t>
  </si>
  <si>
    <t>Start dato</t>
  </si>
  <si>
    <t>Uge</t>
  </si>
  <si>
    <t>Caféens udsalgspriser</t>
  </si>
  <si>
    <t>Sandwich 3 lags</t>
  </si>
  <si>
    <t>Burgerbolle</t>
  </si>
  <si>
    <t>Vin 1/4 flaske</t>
  </si>
  <si>
    <t>Kaffe pr. Kop</t>
  </si>
  <si>
    <t>Kaffe pr. Kande</t>
  </si>
  <si>
    <t>Te pr. Kop</t>
  </si>
  <si>
    <t>Kakao pr. Kop</t>
  </si>
  <si>
    <t>Smørrebrød pr stk.</t>
  </si>
  <si>
    <t>Franskbrød pr. stk.</t>
  </si>
  <si>
    <t>Salat</t>
  </si>
  <si>
    <t xml:space="preserve">Lun frokost </t>
  </si>
  <si>
    <t>Varm ret</t>
  </si>
  <si>
    <t>Kage/wienerbrød</t>
  </si>
  <si>
    <t>Kage med flødeskum</t>
  </si>
  <si>
    <t>Smør/ost/marmelade</t>
  </si>
  <si>
    <t>Frokosttallerken</t>
  </si>
  <si>
    <t>Italiensk "fingerhapsemad"</t>
  </si>
  <si>
    <t>Frugt hele stk.</t>
  </si>
  <si>
    <t>Frugt udskåret på fad</t>
  </si>
  <si>
    <t>Duge, blomster, lys, service m.m.</t>
  </si>
  <si>
    <t>Garderobe afvikling uden pub. betaling</t>
  </si>
  <si>
    <t xml:space="preserve">Andersen  </t>
  </si>
  <si>
    <t xml:space="preserve">Hansen </t>
  </si>
  <si>
    <t xml:space="preserve">Larsen  </t>
  </si>
  <si>
    <t xml:space="preserve">Petersen  </t>
  </si>
  <si>
    <t xml:space="preserve">Nielsen </t>
  </si>
  <si>
    <t>Pris pr. time kr.</t>
  </si>
  <si>
    <t>Kommercielle formål gældende 3 timer</t>
  </si>
  <si>
    <t>Kommercielle formål, ekstra timer</t>
  </si>
  <si>
    <t>Fotolamper til fotoatelier i Petersen</t>
  </si>
  <si>
    <t>Ved reservation af mødelokale mere end 10 gange ydes 10 % rabat.</t>
  </si>
  <si>
    <t>Weekend rengøring</t>
  </si>
  <si>
    <t xml:space="preserve">Rengøring ifbm. møder, foredrag, konferencer </t>
  </si>
  <si>
    <t>Rengøring ifbm. koncerter, fest og spisning</t>
  </si>
  <si>
    <t>Kontraktperson:</t>
  </si>
  <si>
    <t>Vagter (pr. mand, pr. time)</t>
  </si>
  <si>
    <t>Antal publikummer:</t>
  </si>
  <si>
    <t>Mobil/fasttelefon:</t>
  </si>
  <si>
    <t>Dato for arrangement:</t>
  </si>
  <si>
    <t>Magasinet</t>
  </si>
  <si>
    <t>Farvegården 19</t>
  </si>
  <si>
    <t>Mobil: +45 23 49 55 56</t>
  </si>
  <si>
    <t>Tlf.: +45 6551 2851</t>
  </si>
  <si>
    <t>aask@odense.dk</t>
  </si>
  <si>
    <t>www.kulturmaskinen.com</t>
  </si>
  <si>
    <t>Kulturmaskinen - Farvergården 7</t>
  </si>
  <si>
    <t>Postbox 1169 - 5100 Odense C - Danmark</t>
  </si>
  <si>
    <t>EAN: 57 98 00 66 11 584</t>
  </si>
  <si>
    <t>CVR: 35209115</t>
  </si>
  <si>
    <t>Farvergården 7</t>
  </si>
  <si>
    <t>Telefon: +45 65512828</t>
  </si>
  <si>
    <t>kulturmaskinen@kulturmaskinen.dk</t>
  </si>
  <si>
    <t>www.kulturmaskinen.dk</t>
  </si>
  <si>
    <t>EAN: 57 98 00 66 11 584 - ref. aask</t>
  </si>
  <si>
    <t>Pris i alt totalt (lokaleleje, tilkøb, drikkevarer, catering)</t>
  </si>
  <si>
    <t>Kulturmaskinen Café - catering</t>
  </si>
  <si>
    <t>I alt eksklusive moms</t>
  </si>
  <si>
    <t>Subtotal</t>
  </si>
  <si>
    <t>Moms sats</t>
  </si>
  <si>
    <t>Moms beløb</t>
  </si>
  <si>
    <t>I altl inklusive moms</t>
  </si>
  <si>
    <t>Solgte billetter i 'døren'</t>
  </si>
  <si>
    <t>Pris</t>
  </si>
  <si>
    <t>I alt</t>
  </si>
  <si>
    <t>Opnået rabat</t>
  </si>
  <si>
    <t>Kulturplatten</t>
  </si>
  <si>
    <t>I alt tilkøb</t>
  </si>
  <si>
    <t>Opnået rabat på tilkøb</t>
  </si>
  <si>
    <t>I alt inklusive rabat</t>
  </si>
  <si>
    <t>Rabat på tilkøb opnås når lejer har mindst 7 sammenhængende showdage.</t>
  </si>
  <si>
    <r>
      <t>Lav takst (</t>
    </r>
    <r>
      <rPr>
        <sz val="10"/>
        <rFont val="Verdana"/>
        <family val="0"/>
      </rPr>
      <t>5 timer)</t>
    </r>
  </si>
  <si>
    <t>Høj takst (5 timer)</t>
  </si>
  <si>
    <t>Søn- og helligedage tillæg</t>
  </si>
  <si>
    <t>Mellem PA</t>
  </si>
  <si>
    <t>Scenelystræk ryddet/omstillet</t>
  </si>
  <si>
    <t>Ekstra rengøring (pr. mand, pr. time)</t>
  </si>
  <si>
    <t>Øl pr. flaske (alm./lys) 0,33 L</t>
  </si>
  <si>
    <t>Hjemmebagt bolle</t>
  </si>
  <si>
    <t>Helligdag</t>
  </si>
  <si>
    <t>Helligdage</t>
  </si>
</sst>
</file>

<file path=xl/styles.xml><?xml version="1.0" encoding="utf-8"?>
<styleSheet xmlns="http://schemas.openxmlformats.org/spreadsheetml/2006/main">
  <numFmts count="21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_-&quot;kr&quot;* #,##0.00_-;\-&quot;kr&quot;* #,##0.00_-;_-&quot;kr&quot;* &quot;-&quot;??_-;_-@_-"/>
    <numFmt numFmtId="173" formatCode="hh:mm;@"/>
    <numFmt numFmtId="174" formatCode="_ [$kr-406]\ * #,##0.00_ ;_ [$kr-406]\ * \-#,##0.00_ ;_ [$kr-406]\ * &quot;-&quot;??_ ;_ @_ "/>
    <numFmt numFmtId="175" formatCode="mmm/yyyy"/>
    <numFmt numFmtId="176" formatCode="[$-406]d\.\ mmmm\ yyyy"/>
  </numFmts>
  <fonts count="55">
    <font>
      <sz val="10"/>
      <name val="Verdana"/>
      <family val="0"/>
    </font>
    <font>
      <sz val="12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sz val="12"/>
      <name val="Verdana"/>
      <family val="0"/>
    </font>
    <font>
      <sz val="8"/>
      <name val="Arial"/>
      <family val="2"/>
    </font>
    <font>
      <sz val="10"/>
      <name val="Arial"/>
      <family val="0"/>
    </font>
    <font>
      <sz val="16"/>
      <name val="Verdana"/>
      <family val="0"/>
    </font>
    <font>
      <sz val="9"/>
      <name val="Verdana"/>
      <family val="0"/>
    </font>
    <font>
      <u val="doubleAccounting"/>
      <sz val="12"/>
      <name val="Verdana"/>
      <family val="0"/>
    </font>
    <font>
      <u val="single"/>
      <sz val="10"/>
      <color indexed="12"/>
      <name val="Verdana"/>
      <family val="0"/>
    </font>
    <font>
      <sz val="16"/>
      <color indexed="31"/>
      <name val="Verdana"/>
      <family val="0"/>
    </font>
    <font>
      <sz val="12"/>
      <color indexed="31"/>
      <name val="Verdana"/>
      <family val="0"/>
    </font>
    <font>
      <sz val="10"/>
      <color indexed="31"/>
      <name val="Verdana"/>
      <family val="0"/>
    </font>
    <font>
      <u val="single"/>
      <sz val="10"/>
      <color indexed="31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Verdana"/>
      <family val="0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6"/>
      <color theme="2"/>
      <name val="Verdana"/>
      <family val="0"/>
    </font>
    <font>
      <sz val="12"/>
      <color theme="2"/>
      <name val="Verdana"/>
      <family val="0"/>
    </font>
    <font>
      <sz val="10"/>
      <color theme="2"/>
      <name val="Verdana"/>
      <family val="0"/>
    </font>
    <font>
      <u val="single"/>
      <sz val="10"/>
      <color theme="2"/>
      <name val="Verdana"/>
      <family val="0"/>
    </font>
    <font>
      <b/>
      <sz val="8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FA12"/>
        <bgColor indexed="64"/>
      </patternFill>
    </fill>
    <fill>
      <patternFill patternType="solid">
        <fgColor theme="0" tint="-0.04997999966144562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5" fillId="21" borderId="2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4" borderId="3" applyNumberFormat="0" applyAlignment="0" applyProtection="0"/>
    <xf numFmtId="0" fontId="40" fillId="0" borderId="0" applyNumberFormat="0" applyFill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1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0" applyNumberFormat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0" fillId="0" borderId="14" xfId="0" applyNumberFormat="1" applyFill="1" applyBorder="1" applyAlignment="1">
      <alignment horizontal="right"/>
    </xf>
    <xf numFmtId="4" fontId="0" fillId="33" borderId="15" xfId="0" applyNumberFormat="1" applyFill="1" applyBorder="1" applyAlignment="1">
      <alignment horizontal="center"/>
    </xf>
    <xf numFmtId="4" fontId="0" fillId="0" borderId="15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 horizontal="right"/>
    </xf>
    <xf numFmtId="4" fontId="0" fillId="0" borderId="13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33" borderId="18" xfId="0" applyNumberFormat="1" applyFill="1" applyBorder="1" applyAlignment="1">
      <alignment horizontal="center"/>
    </xf>
    <xf numFmtId="4" fontId="0" fillId="0" borderId="18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49" fontId="0" fillId="0" borderId="14" xfId="0" applyNumberFormat="1" applyFont="1" applyBorder="1" applyAlignment="1">
      <alignment horizontal="center"/>
    </xf>
    <xf numFmtId="2" fontId="0" fillId="0" borderId="14" xfId="0" applyNumberFormat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4" xfId="0" applyNumberFormat="1" applyFont="1" applyBorder="1" applyAlignment="1">
      <alignment horizontal="center"/>
    </xf>
    <xf numFmtId="4" fontId="0" fillId="34" borderId="13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0" fillId="34" borderId="11" xfId="0" applyFill="1" applyBorder="1" applyAlignment="1">
      <alignment/>
    </xf>
    <xf numFmtId="0" fontId="2" fillId="35" borderId="20" xfId="0" applyFont="1" applyFill="1" applyBorder="1" applyAlignment="1">
      <alignment/>
    </xf>
    <xf numFmtId="4" fontId="0" fillId="35" borderId="21" xfId="0" applyNumberFormat="1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35" borderId="11" xfId="0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3" xfId="0" applyFill="1" applyBorder="1" applyAlignment="1">
      <alignment/>
    </xf>
    <xf numFmtId="0" fontId="0" fillId="0" borderId="18" xfId="0" applyBorder="1" applyAlignment="1">
      <alignment/>
    </xf>
    <xf numFmtId="0" fontId="2" fillId="0" borderId="12" xfId="0" applyFont="1" applyBorder="1" applyAlignment="1">
      <alignment/>
    </xf>
    <xf numFmtId="0" fontId="2" fillId="0" borderId="19" xfId="0" applyFont="1" applyBorder="1" applyAlignment="1">
      <alignment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9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2" fontId="0" fillId="0" borderId="13" xfId="0" applyNumberFormat="1" applyFill="1" applyBorder="1" applyAlignment="1">
      <alignment horizontal="right"/>
    </xf>
    <xf numFmtId="2" fontId="0" fillId="0" borderId="13" xfId="0" applyNumberFormat="1" applyFill="1" applyBorder="1" applyAlignment="1">
      <alignment/>
    </xf>
    <xf numFmtId="2" fontId="0" fillId="0" borderId="15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33" borderId="18" xfId="0" applyNumberFormat="1" applyFill="1" applyBorder="1" applyAlignment="1">
      <alignment horizontal="center"/>
    </xf>
    <xf numFmtId="2" fontId="0" fillId="0" borderId="18" xfId="0" applyNumberFormat="1" applyBorder="1" applyAlignment="1">
      <alignment/>
    </xf>
    <xf numFmtId="0" fontId="0" fillId="0" borderId="15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2" fontId="0" fillId="0" borderId="14" xfId="0" applyNumberFormat="1" applyFill="1" applyBorder="1" applyAlignment="1">
      <alignment horizontal="right"/>
    </xf>
    <xf numFmtId="2" fontId="0" fillId="0" borderId="15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35" borderId="13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0" fillId="0" borderId="13" xfId="0" applyNumberFormat="1" applyBorder="1" applyAlignment="1">
      <alignment horizontal="center"/>
    </xf>
    <xf numFmtId="2" fontId="0" fillId="34" borderId="13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36" borderId="13" xfId="0" applyNumberFormat="1" applyFill="1" applyBorder="1" applyAlignment="1">
      <alignment/>
    </xf>
    <xf numFmtId="0" fontId="0" fillId="0" borderId="13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right" vertical="top"/>
    </xf>
    <xf numFmtId="0" fontId="0" fillId="0" borderId="22" xfId="0" applyNumberFormat="1" applyFill="1" applyBorder="1" applyAlignment="1">
      <alignment horizontal="right" vertical="top"/>
    </xf>
    <xf numFmtId="0" fontId="0" fillId="0" borderId="18" xfId="0" applyNumberFormat="1" applyFill="1" applyBorder="1" applyAlignment="1">
      <alignment horizontal="right" vertical="top"/>
    </xf>
    <xf numFmtId="0" fontId="0" fillId="0" borderId="20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NumberForma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right" vertical="top"/>
    </xf>
    <xf numFmtId="0" fontId="0" fillId="0" borderId="24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 horizontal="right" vertical="top"/>
    </xf>
    <xf numFmtId="0" fontId="0" fillId="37" borderId="0" xfId="0" applyFill="1" applyAlignment="1">
      <alignment/>
    </xf>
    <xf numFmtId="0" fontId="50" fillId="37" borderId="0" xfId="0" applyFont="1" applyFill="1" applyAlignment="1">
      <alignment/>
    </xf>
    <xf numFmtId="0" fontId="51" fillId="37" borderId="0" xfId="0" applyFon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Fill="1" applyBorder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0" applyNumberFormat="1" applyFont="1" applyAlignment="1">
      <alignment/>
    </xf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0" fillId="0" borderId="0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Border="1" applyAlignment="1">
      <alignment/>
    </xf>
    <xf numFmtId="4" fontId="0" fillId="35" borderId="13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 horizontal="right"/>
    </xf>
    <xf numFmtId="0" fontId="0" fillId="38" borderId="11" xfId="0" applyFill="1" applyBorder="1" applyAlignment="1">
      <alignment/>
    </xf>
    <xf numFmtId="9" fontId="0" fillId="19" borderId="13" xfId="0" applyNumberFormat="1" applyFill="1" applyBorder="1" applyAlignment="1">
      <alignment horizontal="center"/>
    </xf>
    <xf numFmtId="0" fontId="0" fillId="39" borderId="12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3" xfId="0" applyFill="1" applyBorder="1" applyAlignment="1">
      <alignment/>
    </xf>
    <xf numFmtId="174" fontId="0" fillId="39" borderId="13" xfId="60" applyNumberFormat="1" applyFont="1" applyFill="1" applyBorder="1" applyAlignment="1">
      <alignment horizontal="right"/>
    </xf>
    <xf numFmtId="2" fontId="0" fillId="39" borderId="13" xfId="0" applyNumberFormat="1" applyFill="1" applyBorder="1" applyAlignment="1">
      <alignment/>
    </xf>
    <xf numFmtId="14" fontId="0" fillId="6" borderId="14" xfId="0" applyNumberFormat="1" applyFont="1" applyFill="1" applyBorder="1" applyAlignment="1">
      <alignment horizontal="center" vertical="center"/>
    </xf>
    <xf numFmtId="0" fontId="0" fillId="35" borderId="14" xfId="0" applyFill="1" applyBorder="1" applyAlignment="1">
      <alignment/>
    </xf>
    <xf numFmtId="0" fontId="0" fillId="35" borderId="14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left"/>
    </xf>
    <xf numFmtId="0" fontId="0" fillId="35" borderId="18" xfId="0" applyFont="1" applyFill="1" applyBorder="1" applyAlignment="1">
      <alignment horizontal="center"/>
    </xf>
    <xf numFmtId="0" fontId="52" fillId="37" borderId="23" xfId="0" applyFont="1" applyFill="1" applyBorder="1" applyAlignment="1">
      <alignment/>
    </xf>
    <xf numFmtId="0" fontId="52" fillId="37" borderId="0" xfId="0" applyFont="1" applyFill="1" applyBorder="1" applyAlignment="1">
      <alignment/>
    </xf>
    <xf numFmtId="0" fontId="52" fillId="37" borderId="0" xfId="0" applyNumberFormat="1" applyFont="1" applyFill="1" applyBorder="1" applyAlignment="1">
      <alignment/>
    </xf>
    <xf numFmtId="0" fontId="52" fillId="37" borderId="19" xfId="0" applyFont="1" applyFill="1" applyBorder="1" applyAlignment="1">
      <alignment/>
    </xf>
    <xf numFmtId="0" fontId="52" fillId="37" borderId="10" xfId="0" applyFont="1" applyFill="1" applyBorder="1" applyAlignment="1">
      <alignment/>
    </xf>
    <xf numFmtId="0" fontId="52" fillId="37" borderId="10" xfId="0" applyNumberFormat="1" applyFont="1" applyFill="1" applyBorder="1" applyAlignment="1">
      <alignment/>
    </xf>
    <xf numFmtId="0" fontId="52" fillId="37" borderId="25" xfId="0" applyFont="1" applyFill="1" applyBorder="1" applyAlignment="1">
      <alignment/>
    </xf>
    <xf numFmtId="0" fontId="52" fillId="37" borderId="26" xfId="0" applyFont="1" applyFill="1" applyBorder="1" applyAlignment="1">
      <alignment/>
    </xf>
    <xf numFmtId="0" fontId="53" fillId="37" borderId="0" xfId="42" applyFont="1" applyFill="1" applyBorder="1" applyAlignment="1">
      <alignment/>
    </xf>
    <xf numFmtId="0" fontId="52" fillId="37" borderId="27" xfId="0" applyFont="1" applyFill="1" applyBorder="1" applyAlignment="1">
      <alignment/>
    </xf>
    <xf numFmtId="0" fontId="53" fillId="37" borderId="23" xfId="0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2" fillId="36" borderId="12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2" fontId="0" fillId="36" borderId="11" xfId="0" applyNumberFormat="1" applyFill="1" applyBorder="1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0" fontId="7" fillId="37" borderId="0" xfId="0" applyFont="1" applyFill="1" applyAlignment="1">
      <alignment/>
    </xf>
    <xf numFmtId="0" fontId="4" fillId="39" borderId="12" xfId="0" applyFont="1" applyFill="1" applyBorder="1" applyAlignment="1">
      <alignment/>
    </xf>
    <xf numFmtId="0" fontId="4" fillId="39" borderId="11" xfId="0" applyFont="1" applyFill="1" applyBorder="1" applyAlignment="1">
      <alignment/>
    </xf>
    <xf numFmtId="174" fontId="4" fillId="39" borderId="11" xfId="60" applyNumberFormat="1" applyFont="1" applyFill="1" applyBorder="1" applyAlignment="1">
      <alignment horizontal="right"/>
    </xf>
    <xf numFmtId="174" fontId="9" fillId="39" borderId="11" xfId="60" applyNumberFormat="1" applyFont="1" applyFill="1" applyBorder="1" applyAlignment="1">
      <alignment horizontal="right"/>
    </xf>
    <xf numFmtId="0" fontId="4" fillId="36" borderId="0" xfId="0" applyFont="1" applyFill="1" applyBorder="1" applyAlignment="1">
      <alignment/>
    </xf>
    <xf numFmtId="49" fontId="4" fillId="40" borderId="0" xfId="0" applyNumberFormat="1" applyFont="1" applyFill="1" applyBorder="1" applyAlignment="1">
      <alignment horizontal="left"/>
    </xf>
    <xf numFmtId="0" fontId="4" fillId="40" borderId="0" xfId="0" applyFont="1" applyFill="1" applyBorder="1" applyAlignment="1">
      <alignment/>
    </xf>
    <xf numFmtId="0" fontId="4" fillId="40" borderId="0" xfId="0" applyNumberFormat="1" applyFont="1" applyFill="1" applyBorder="1" applyAlignment="1">
      <alignment horizontal="left"/>
    </xf>
    <xf numFmtId="49" fontId="4" fillId="40" borderId="0" xfId="0" applyNumberFormat="1" applyFont="1" applyFill="1" applyBorder="1" applyAlignment="1">
      <alignment/>
    </xf>
    <xf numFmtId="0" fontId="40" fillId="36" borderId="0" xfId="42" applyFill="1" applyBorder="1" applyAlignment="1">
      <alignment/>
    </xf>
    <xf numFmtId="0" fontId="4" fillId="40" borderId="0" xfId="0" applyFont="1" applyFill="1" applyBorder="1" applyAlignment="1">
      <alignment horizontal="left"/>
    </xf>
    <xf numFmtId="0" fontId="2" fillId="0" borderId="20" xfId="0" applyFont="1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4" fontId="0" fillId="0" borderId="21" xfId="0" applyNumberFormat="1" applyFont="1" applyFill="1" applyBorder="1" applyAlignment="1">
      <alignment/>
    </xf>
    <xf numFmtId="0" fontId="0" fillId="35" borderId="11" xfId="0" applyFill="1" applyBorder="1" applyAlignment="1">
      <alignment horizontal="center"/>
    </xf>
    <xf numFmtId="9" fontId="0" fillId="34" borderId="13" xfId="0" applyNumberForma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2" fontId="0" fillId="34" borderId="13" xfId="0" applyNumberFormat="1" applyFill="1" applyBorder="1" applyAlignment="1">
      <alignment horizontal="center"/>
    </xf>
    <xf numFmtId="0" fontId="0" fillId="35" borderId="14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3" xfId="0" applyFill="1" applyBorder="1" applyAlignment="1">
      <alignment horizontal="center"/>
    </xf>
    <xf numFmtId="0" fontId="0" fillId="6" borderId="14" xfId="0" applyFill="1" applyBorder="1" applyAlignment="1">
      <alignment/>
    </xf>
    <xf numFmtId="0" fontId="0" fillId="6" borderId="14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174" fontId="0" fillId="6" borderId="12" xfId="0" applyNumberFormat="1" applyFill="1" applyBorder="1" applyAlignment="1">
      <alignment horizontal="center"/>
    </xf>
    <xf numFmtId="9" fontId="0" fillId="13" borderId="14" xfId="55" applyFont="1" applyFill="1" applyBorder="1" applyAlignment="1">
      <alignment horizontal="center"/>
    </xf>
    <xf numFmtId="14" fontId="0" fillId="6" borderId="0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2" fillId="35" borderId="0" xfId="0" applyFont="1" applyFill="1" applyAlignment="1">
      <alignment/>
    </xf>
    <xf numFmtId="173" fontId="0" fillId="0" borderId="0" xfId="0" applyNumberFormat="1" applyFont="1" applyAlignment="1">
      <alignment horizontal="center"/>
    </xf>
  </cellXfs>
  <cellStyles count="48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Hyperlink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  <cellStyle name="Currency [0]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1285875</xdr:colOff>
      <xdr:row>45</xdr:row>
      <xdr:rowOff>47625</xdr:rowOff>
    </xdr:from>
    <xdr:to>
      <xdr:col>6</xdr:col>
      <xdr:colOff>323850</xdr:colOff>
      <xdr:row>48</xdr:row>
      <xdr:rowOff>85725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8515350"/>
          <a:ext cx="6572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0</xdr:row>
      <xdr:rowOff>47625</xdr:rowOff>
    </xdr:from>
    <xdr:to>
      <xdr:col>6</xdr:col>
      <xdr:colOff>304800</xdr:colOff>
      <xdr:row>0</xdr:row>
      <xdr:rowOff>228600</xdr:rowOff>
    </xdr:to>
    <xdr:pic>
      <xdr:nvPicPr>
        <xdr:cNvPr id="2" name="Billede 2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381625" y="47625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18</xdr:row>
      <xdr:rowOff>9525</xdr:rowOff>
    </xdr:from>
    <xdr:to>
      <xdr:col>6</xdr:col>
      <xdr:colOff>323850</xdr:colOff>
      <xdr:row>26</xdr:row>
      <xdr:rowOff>152400</xdr:rowOff>
    </xdr:to>
    <xdr:sp>
      <xdr:nvSpPr>
        <xdr:cNvPr id="3" name="Tekstfelt 1"/>
        <xdr:cNvSpPr txBox="1">
          <a:spLocks noChangeArrowheads="1"/>
        </xdr:cNvSpPr>
      </xdr:nvSpPr>
      <xdr:spPr>
        <a:xfrm>
          <a:off x="66675" y="4029075"/>
          <a:ext cx="5562600" cy="14573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Obs!: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0</xdr:row>
      <xdr:rowOff>38100</xdr:rowOff>
    </xdr:from>
    <xdr:to>
      <xdr:col>6</xdr:col>
      <xdr:colOff>752475</xdr:colOff>
      <xdr:row>0</xdr:row>
      <xdr:rowOff>209550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114925" y="3810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581025</xdr:colOff>
      <xdr:row>0</xdr:row>
      <xdr:rowOff>38100</xdr:rowOff>
    </xdr:from>
    <xdr:to>
      <xdr:col>8</xdr:col>
      <xdr:colOff>819150</xdr:colOff>
      <xdr:row>0</xdr:row>
      <xdr:rowOff>219075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6067425" y="381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600075</xdr:colOff>
      <xdr:row>0</xdr:row>
      <xdr:rowOff>38100</xdr:rowOff>
    </xdr:from>
    <xdr:to>
      <xdr:col>6</xdr:col>
      <xdr:colOff>828675</xdr:colOff>
      <xdr:row>0</xdr:row>
      <xdr:rowOff>209550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162550" y="38100"/>
          <a:ext cx="2286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38100</xdr:rowOff>
    </xdr:from>
    <xdr:to>
      <xdr:col>6</xdr:col>
      <xdr:colOff>819150</xdr:colOff>
      <xdr:row>0</xdr:row>
      <xdr:rowOff>209550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334000" y="38100"/>
          <a:ext cx="2381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0</xdr:row>
      <xdr:rowOff>38100</xdr:rowOff>
    </xdr:from>
    <xdr:to>
      <xdr:col>6</xdr:col>
      <xdr:colOff>800100</xdr:colOff>
      <xdr:row>0</xdr:row>
      <xdr:rowOff>219075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400675" y="38100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571500</xdr:colOff>
      <xdr:row>0</xdr:row>
      <xdr:rowOff>66675</xdr:rowOff>
    </xdr:from>
    <xdr:to>
      <xdr:col>6</xdr:col>
      <xdr:colOff>809625</xdr:colOff>
      <xdr:row>0</xdr:row>
      <xdr:rowOff>247650</xdr:rowOff>
    </xdr:to>
    <xdr:pic>
      <xdr:nvPicPr>
        <xdr:cNvPr id="1" name="Billede 1" descr="KM logo mail.gif"/>
        <xdr:cNvPicPr preferRelativeResize="1">
          <a:picLocks noChangeAspect="1"/>
        </xdr:cNvPicPr>
      </xdr:nvPicPr>
      <xdr:blipFill>
        <a:blip r:embed="rId1"/>
        <a:srcRect l="13252" r="16867" b="30648"/>
        <a:stretch>
          <a:fillRect/>
        </a:stretch>
      </xdr:blipFill>
      <xdr:spPr>
        <a:xfrm>
          <a:off x="5505450" y="6667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ST\BST%20Utilities%20xm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T"/>
      <sheetName val="Menu"/>
      <sheetName val="Forme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lturmaskinen@kulturmaskinen.dk" TargetMode="External" /><Relationship Id="rId2" Type="http://schemas.openxmlformats.org/officeDocument/2006/relationships/hyperlink" Target="http://www.kulturmaskinen.dk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1" width="21.125" style="0" customWidth="1"/>
    <col min="2" max="2" width="13.375" style="0" customWidth="1"/>
    <col min="3" max="3" width="5.875" style="0" customWidth="1"/>
    <col min="4" max="4" width="3.875" style="0" customWidth="1"/>
    <col min="5" max="5" width="4.125" style="0" customWidth="1"/>
    <col min="6" max="6" width="21.25390625" style="0" customWidth="1"/>
    <col min="7" max="7" width="5.25390625" style="0" customWidth="1"/>
    <col min="8" max="16384" width="11.00390625" style="0" customWidth="1"/>
  </cols>
  <sheetData>
    <row r="1" spans="1:7" ht="21" customHeight="1">
      <c r="A1" s="104" t="s">
        <v>87</v>
      </c>
      <c r="B1" s="105"/>
      <c r="C1" s="105"/>
      <c r="D1" s="105"/>
      <c r="E1" s="105"/>
      <c r="F1" s="103"/>
      <c r="G1" s="103"/>
    </row>
    <row r="2" ht="12.75" customHeight="1">
      <c r="D2" s="76"/>
    </row>
    <row r="3" spans="1:7" ht="18" customHeight="1">
      <c r="A3" s="65" t="s">
        <v>35</v>
      </c>
      <c r="B3" s="162"/>
      <c r="C3" s="162"/>
      <c r="D3" s="162"/>
      <c r="E3" s="162"/>
      <c r="F3" s="162"/>
      <c r="G3" s="162"/>
    </row>
    <row r="4" spans="1:7" ht="18" customHeight="1">
      <c r="A4" s="65" t="s">
        <v>136</v>
      </c>
      <c r="B4" s="163"/>
      <c r="C4" s="163"/>
      <c r="D4" s="163"/>
      <c r="E4" s="163"/>
      <c r="F4" s="163"/>
      <c r="G4" s="163"/>
    </row>
    <row r="5" spans="1:7" ht="18" customHeight="1">
      <c r="A5" s="65" t="s">
        <v>36</v>
      </c>
      <c r="B5" s="162"/>
      <c r="C5" s="162"/>
      <c r="D5" s="162"/>
      <c r="E5" s="162"/>
      <c r="F5" s="162"/>
      <c r="G5" s="162"/>
    </row>
    <row r="6" spans="1:7" ht="18" customHeight="1">
      <c r="A6" s="65" t="s">
        <v>132</v>
      </c>
      <c r="B6" s="164"/>
      <c r="C6" s="164"/>
      <c r="D6" s="163"/>
      <c r="E6" s="163"/>
      <c r="F6" s="163"/>
      <c r="G6" s="163"/>
    </row>
    <row r="7" spans="1:7" ht="18" customHeight="1">
      <c r="A7" s="65" t="s">
        <v>37</v>
      </c>
      <c r="B7" s="162"/>
      <c r="C7" s="162"/>
      <c r="D7" s="162"/>
      <c r="E7" s="162"/>
      <c r="F7" s="162"/>
      <c r="G7" s="162"/>
    </row>
    <row r="8" spans="1:7" ht="18" customHeight="1">
      <c r="A8" s="65" t="s">
        <v>38</v>
      </c>
      <c r="B8" s="165"/>
      <c r="C8" s="165"/>
      <c r="D8" s="163"/>
      <c r="E8" s="163"/>
      <c r="F8" s="163"/>
      <c r="G8" s="163"/>
    </row>
    <row r="9" spans="1:7" ht="18" customHeight="1">
      <c r="A9" s="65" t="s">
        <v>40</v>
      </c>
      <c r="B9" s="162"/>
      <c r="C9" s="162"/>
      <c r="D9" s="162"/>
      <c r="E9" s="162"/>
      <c r="F9" s="162"/>
      <c r="G9" s="162"/>
    </row>
    <row r="10" spans="1:7" ht="18" customHeight="1">
      <c r="A10" s="65" t="s">
        <v>42</v>
      </c>
      <c r="B10" s="166"/>
      <c r="C10" s="166"/>
      <c r="D10" s="163"/>
      <c r="E10" s="163"/>
      <c r="F10" s="163"/>
      <c r="G10" s="163"/>
    </row>
    <row r="11" spans="1:7" ht="18" customHeight="1">
      <c r="A11" s="65" t="s">
        <v>43</v>
      </c>
      <c r="B11" s="167"/>
      <c r="C11" s="162"/>
      <c r="D11" s="162"/>
      <c r="E11" s="162"/>
      <c r="F11" s="162"/>
      <c r="G11" s="162"/>
    </row>
    <row r="12" spans="1:7" ht="18" customHeight="1">
      <c r="A12" s="65" t="s">
        <v>135</v>
      </c>
      <c r="B12" s="168"/>
      <c r="C12" s="168"/>
      <c r="D12" s="163"/>
      <c r="E12" s="163"/>
      <c r="F12" s="163"/>
      <c r="G12" s="163"/>
    </row>
    <row r="13" spans="1:7" ht="18" customHeight="1">
      <c r="A13" s="65" t="s">
        <v>41</v>
      </c>
      <c r="B13" s="167"/>
      <c r="C13" s="167"/>
      <c r="D13" s="162"/>
      <c r="E13" s="162"/>
      <c r="F13" s="162"/>
      <c r="G13" s="162"/>
    </row>
    <row r="14" spans="1:7" ht="18" customHeight="1">
      <c r="A14" s="76"/>
      <c r="B14" s="164"/>
      <c r="C14" s="164"/>
      <c r="D14" s="164"/>
      <c r="E14" s="164"/>
      <c r="F14" s="163"/>
      <c r="G14" s="163"/>
    </row>
    <row r="15" spans="1:7" ht="18" customHeight="1">
      <c r="A15" s="65" t="s">
        <v>78</v>
      </c>
      <c r="B15" s="162"/>
      <c r="C15" s="162"/>
      <c r="D15" s="162"/>
      <c r="E15" s="162"/>
      <c r="F15" s="162"/>
      <c r="G15" s="162"/>
    </row>
    <row r="16" spans="1:7" ht="18" customHeight="1">
      <c r="A16" s="65" t="s">
        <v>134</v>
      </c>
      <c r="B16" s="168"/>
      <c r="C16" s="168"/>
      <c r="D16" s="163"/>
      <c r="E16" s="163"/>
      <c r="F16" s="163"/>
      <c r="G16" s="163"/>
    </row>
    <row r="17" spans="1:7" ht="18" customHeight="1">
      <c r="A17" s="65" t="s">
        <v>39</v>
      </c>
      <c r="B17" s="162"/>
      <c r="C17" s="162"/>
      <c r="D17" s="162"/>
      <c r="E17" s="162"/>
      <c r="F17" s="162"/>
      <c r="G17" s="162"/>
    </row>
    <row r="19" spans="1:6" ht="12.75">
      <c r="A19" s="64"/>
      <c r="B19" s="64"/>
      <c r="C19" s="64"/>
      <c r="D19" s="64"/>
      <c r="E19" s="64"/>
      <c r="F19" s="106"/>
    </row>
    <row r="20" ht="13.5" customHeight="1"/>
    <row r="21" ht="13.5" customHeight="1"/>
    <row r="25" ht="12.75" customHeight="1"/>
    <row r="26" spans="1:2" ht="12.75">
      <c r="A26" s="1"/>
      <c r="B26" s="1"/>
    </row>
    <row r="29" spans="1:7" ht="12.75">
      <c r="A29" s="183" t="s">
        <v>159</v>
      </c>
      <c r="B29" s="182" t="s">
        <v>27</v>
      </c>
      <c r="C29" s="184" t="s">
        <v>160</v>
      </c>
      <c r="D29" s="180"/>
      <c r="E29" s="181"/>
      <c r="F29" s="185" t="s">
        <v>161</v>
      </c>
      <c r="G29" s="181"/>
    </row>
    <row r="30" spans="1:7" ht="12.75">
      <c r="A30" s="183"/>
      <c r="B30" s="184"/>
      <c r="C30" s="184"/>
      <c r="D30" s="179"/>
      <c r="E30" s="182"/>
      <c r="F30" s="186">
        <f>B30*C30</f>
        <v>0</v>
      </c>
      <c r="G30" s="182"/>
    </row>
    <row r="31" spans="1:5" ht="12.75">
      <c r="A31" s="4"/>
      <c r="B31" s="4"/>
      <c r="C31" s="4"/>
      <c r="D31" s="4"/>
      <c r="E31" s="107"/>
    </row>
    <row r="32" spans="1:7" ht="17.25">
      <c r="A32" s="158" t="s">
        <v>152</v>
      </c>
      <c r="B32" s="159"/>
      <c r="C32" s="159"/>
      <c r="D32" s="160"/>
      <c r="E32" s="160"/>
      <c r="F32" s="161">
        <f>SUM('Magasinet lokaleleje+tilkøb'!G48+'Magasinet drikkevarer'!G51+'Store sal+tilkøb'!G42+'Mødelokaler+tilkøb'!G44+'Cafe catering'!G54)-F30</f>
        <v>20000</v>
      </c>
      <c r="G32" s="126"/>
    </row>
    <row r="33" spans="1:5" ht="12.75">
      <c r="A33" s="4"/>
      <c r="B33" s="4"/>
      <c r="C33" s="4"/>
      <c r="D33" s="4"/>
      <c r="E33" s="4"/>
    </row>
    <row r="36" ht="12.75">
      <c r="F36" s="64"/>
    </row>
    <row r="37" ht="12.75">
      <c r="D37" s="4"/>
    </row>
    <row r="41" spans="1:7" ht="12.75">
      <c r="A41" s="140" t="s">
        <v>137</v>
      </c>
      <c r="B41" s="141"/>
      <c r="C41" s="141" t="s">
        <v>143</v>
      </c>
      <c r="D41" s="141"/>
      <c r="E41" s="141"/>
      <c r="F41" s="141"/>
      <c r="G41" s="141"/>
    </row>
    <row r="42" spans="1:7" ht="12.75">
      <c r="A42" s="134" t="s">
        <v>138</v>
      </c>
      <c r="B42" s="143"/>
      <c r="C42" s="135" t="s">
        <v>147</v>
      </c>
      <c r="D42" s="135"/>
      <c r="E42" s="135"/>
      <c r="F42" s="143"/>
      <c r="G42" s="103"/>
    </row>
    <row r="43" spans="1:7" ht="12.75">
      <c r="A43" s="134" t="s">
        <v>144</v>
      </c>
      <c r="B43" s="135"/>
      <c r="C43" s="135" t="s">
        <v>144</v>
      </c>
      <c r="D43" s="135"/>
      <c r="E43" s="135"/>
      <c r="F43" s="135"/>
      <c r="G43" s="103"/>
    </row>
    <row r="44" spans="1:7" ht="12.75">
      <c r="A44" s="134" t="s">
        <v>139</v>
      </c>
      <c r="B44" s="135"/>
      <c r="C44" s="135" t="s">
        <v>148</v>
      </c>
      <c r="D44" s="135"/>
      <c r="E44" s="135"/>
      <c r="F44" s="135"/>
      <c r="G44" s="103"/>
    </row>
    <row r="45" spans="1:7" ht="12.75">
      <c r="A45" s="134" t="s">
        <v>140</v>
      </c>
      <c r="B45" s="145"/>
      <c r="C45" s="142" t="s">
        <v>149</v>
      </c>
      <c r="D45" s="135"/>
      <c r="E45" s="135"/>
      <c r="F45" s="135"/>
      <c r="G45" s="103"/>
    </row>
    <row r="46" spans="1:7" ht="12.75">
      <c r="A46" s="144" t="s">
        <v>141</v>
      </c>
      <c r="B46" s="135"/>
      <c r="C46" s="142" t="s">
        <v>150</v>
      </c>
      <c r="D46" s="135"/>
      <c r="E46" s="135"/>
      <c r="F46" s="135"/>
      <c r="G46" s="103"/>
    </row>
    <row r="47" spans="1:7" ht="12.75">
      <c r="A47" s="144" t="s">
        <v>142</v>
      </c>
      <c r="B47" s="135"/>
      <c r="C47" s="135" t="s">
        <v>145</v>
      </c>
      <c r="D47" s="135"/>
      <c r="E47" s="135"/>
      <c r="F47" s="135"/>
      <c r="G47" s="103"/>
    </row>
    <row r="48" spans="1:7" ht="12.75">
      <c r="A48" s="134" t="s">
        <v>151</v>
      </c>
      <c r="B48" s="135"/>
      <c r="C48" s="135" t="s">
        <v>146</v>
      </c>
      <c r="D48" s="136"/>
      <c r="E48" s="135"/>
      <c r="F48" s="135"/>
      <c r="G48" s="103"/>
    </row>
    <row r="49" spans="1:7" ht="12.75">
      <c r="A49" s="137" t="s">
        <v>146</v>
      </c>
      <c r="B49" s="138"/>
      <c r="C49" s="138"/>
      <c r="D49" s="139"/>
      <c r="E49" s="138"/>
      <c r="F49" s="135"/>
      <c r="G49" s="103"/>
    </row>
  </sheetData>
  <sheetProtection/>
  <hyperlinks>
    <hyperlink ref="C45" r:id="rId1" display="kulturmaskinen@kulturmaskinen.dk"/>
    <hyperlink ref="C46" r:id="rId2" display="www.kulturmaskinen.dk"/>
  </hyperlinks>
  <printOptions/>
  <pageMargins left="0.75" right="0.75" top="1" bottom="1" header="0.5" footer="0.5"/>
  <pageSetup fitToHeight="1" fitToWidth="1" orientation="portrait" paperSize="9" scale="92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E21" sqref="E21"/>
    </sheetView>
  </sheetViews>
  <sheetFormatPr defaultColWidth="9.00390625" defaultRowHeight="12.75"/>
  <cols>
    <col min="1" max="1" width="10.625" style="0" customWidth="1"/>
    <col min="2" max="2" width="8.125" style="0" customWidth="1"/>
    <col min="3" max="3" width="11.125" style="0" customWidth="1"/>
    <col min="4" max="7" width="10.125" style="0" customWidth="1"/>
    <col min="8" max="16384" width="11.00390625" style="0" customWidth="1"/>
  </cols>
  <sheetData>
    <row r="1" spans="1:7" ht="19.5" customHeight="1">
      <c r="A1" s="104" t="s">
        <v>81</v>
      </c>
      <c r="B1" s="103"/>
      <c r="C1" s="103"/>
      <c r="D1" s="103"/>
      <c r="E1" s="103"/>
      <c r="F1" s="103"/>
      <c r="G1" s="103"/>
    </row>
    <row r="3" spans="1:3" ht="12.75">
      <c r="A3" t="s">
        <v>35</v>
      </c>
      <c r="C3">
        <f>Regningsgrundlag!B3</f>
        <v>0</v>
      </c>
    </row>
    <row r="4" spans="1:3" ht="12.75">
      <c r="A4" t="s">
        <v>136</v>
      </c>
      <c r="C4">
        <f>Regningsgrundlag!B4</f>
        <v>0</v>
      </c>
    </row>
    <row r="5" spans="1:3" ht="12.75">
      <c r="A5" t="s">
        <v>36</v>
      </c>
      <c r="C5">
        <f>Regningsgrundlag!B5</f>
        <v>0</v>
      </c>
    </row>
    <row r="6" spans="1:3" ht="12.75">
      <c r="A6" t="s">
        <v>132</v>
      </c>
      <c r="C6">
        <f>Regningsgrundlag!B6</f>
        <v>0</v>
      </c>
    </row>
    <row r="7" spans="1:3" ht="12.75">
      <c r="A7" t="s">
        <v>37</v>
      </c>
      <c r="C7">
        <f>Regningsgrundlag!B7</f>
        <v>0</v>
      </c>
    </row>
    <row r="8" spans="1:3" ht="12.75">
      <c r="A8" t="s">
        <v>38</v>
      </c>
      <c r="C8" s="154">
        <f>Regningsgrundlag!B8</f>
        <v>0</v>
      </c>
    </row>
    <row r="9" spans="1:3" ht="12.75">
      <c r="A9" t="s">
        <v>40</v>
      </c>
      <c r="C9">
        <f>Regningsgrundlag!B9</f>
        <v>0</v>
      </c>
    </row>
    <row r="10" spans="1:3" ht="12.75">
      <c r="A10" t="s">
        <v>42</v>
      </c>
      <c r="C10">
        <f>Regningsgrundlag!B10</f>
        <v>0</v>
      </c>
    </row>
    <row r="11" spans="1:3" ht="12.75">
      <c r="A11" t="s">
        <v>43</v>
      </c>
      <c r="C11">
        <f>Regningsgrundlag!B11</f>
        <v>0</v>
      </c>
    </row>
    <row r="12" spans="1:3" ht="12.75">
      <c r="A12" t="s">
        <v>135</v>
      </c>
      <c r="C12" s="154">
        <f>Regningsgrundlag!B12</f>
        <v>0</v>
      </c>
    </row>
    <row r="13" spans="1:3" ht="12.75">
      <c r="A13" t="s">
        <v>41</v>
      </c>
      <c r="C13">
        <f>Regningsgrundlag!B13</f>
        <v>0</v>
      </c>
    </row>
    <row r="16" spans="1:7" ht="12.75">
      <c r="A16" s="146" t="s">
        <v>30</v>
      </c>
      <c r="B16" s="147"/>
      <c r="C16" s="147"/>
      <c r="D16" s="148" t="s">
        <v>26</v>
      </c>
      <c r="E16" s="149" t="s">
        <v>16</v>
      </c>
      <c r="F16" s="149" t="s">
        <v>0</v>
      </c>
      <c r="G16" s="150" t="s">
        <v>44</v>
      </c>
    </row>
    <row r="17" spans="1:7" ht="12.75">
      <c r="A17" s="40" t="s">
        <v>168</v>
      </c>
      <c r="B17" s="2"/>
      <c r="C17" s="9"/>
      <c r="D17" s="10"/>
      <c r="E17" s="66">
        <f>SUM('Antal timer i Magasinet'!H7:H48)</f>
        <v>3</v>
      </c>
      <c r="F17" s="20">
        <v>2500</v>
      </c>
      <c r="G17" s="23">
        <f aca="true" t="shared" si="0" ref="G17:G22">E17*F17</f>
        <v>7500</v>
      </c>
    </row>
    <row r="18" spans="1:7" ht="12.75">
      <c r="A18" s="5" t="s">
        <v>7</v>
      </c>
      <c r="B18" s="3"/>
      <c r="C18" s="9"/>
      <c r="D18" s="9"/>
      <c r="E18" s="18">
        <f>SUM('Antal timer i Magasinet'!I7:I48)</f>
        <v>11.000000000000002</v>
      </c>
      <c r="F18" s="20">
        <v>500</v>
      </c>
      <c r="G18" s="24">
        <f t="shared" si="0"/>
        <v>5500.000000000001</v>
      </c>
    </row>
    <row r="19" spans="1:7" ht="12.75">
      <c r="A19" s="5" t="s">
        <v>169</v>
      </c>
      <c r="B19" s="3"/>
      <c r="C19" s="9"/>
      <c r="D19" s="9"/>
      <c r="E19" s="18"/>
      <c r="F19" s="20">
        <v>5000</v>
      </c>
      <c r="G19" s="24">
        <f t="shared" si="0"/>
        <v>0</v>
      </c>
    </row>
    <row r="20" spans="1:7" ht="12.75">
      <c r="A20" s="5" t="s">
        <v>31</v>
      </c>
      <c r="B20" s="3"/>
      <c r="C20" s="9"/>
      <c r="D20" s="9"/>
      <c r="E20" s="18"/>
      <c r="F20" s="20">
        <v>1000</v>
      </c>
      <c r="G20" s="25">
        <f t="shared" si="0"/>
        <v>0</v>
      </c>
    </row>
    <row r="21" spans="1:7" ht="12.75">
      <c r="A21" s="5" t="s">
        <v>170</v>
      </c>
      <c r="B21" s="3"/>
      <c r="C21" s="9"/>
      <c r="D21" s="9"/>
      <c r="E21" s="18">
        <f>SUMPRODUCT((WEEKDAY('Antal timer i Magasinet'!B7:B48,1)=1)*('Antal timer i Magasinet'!D7:D48&lt;&gt;""))+SUMPRODUCT(('Antal timer i Magasinet'!C7:C48="X")*('Antal timer i Magasinet'!D7:D48&lt;&gt;""))</f>
        <v>2</v>
      </c>
      <c r="F21" s="20">
        <v>1500</v>
      </c>
      <c r="G21" s="24">
        <f t="shared" si="0"/>
        <v>3000</v>
      </c>
    </row>
    <row r="22" spans="1:7" ht="12.75">
      <c r="A22" s="5" t="s">
        <v>14</v>
      </c>
      <c r="B22" s="3"/>
      <c r="C22" s="9"/>
      <c r="D22" s="9"/>
      <c r="E22" s="18"/>
      <c r="F22" s="20">
        <v>2500</v>
      </c>
      <c r="G22" s="24">
        <f t="shared" si="0"/>
        <v>0</v>
      </c>
    </row>
    <row r="23" spans="1:7" ht="12.75">
      <c r="A23" s="17" t="s">
        <v>13</v>
      </c>
      <c r="B23" s="6"/>
      <c r="C23" s="7"/>
      <c r="D23" s="7"/>
      <c r="E23" s="16" t="s">
        <v>15</v>
      </c>
      <c r="F23" s="21" t="s">
        <v>1</v>
      </c>
      <c r="G23" s="26" t="s">
        <v>44</v>
      </c>
    </row>
    <row r="24" spans="1:7" ht="12.75">
      <c r="A24" s="5" t="s">
        <v>8</v>
      </c>
      <c r="B24" s="2"/>
      <c r="C24" s="9"/>
      <c r="D24" s="9"/>
      <c r="E24" s="19"/>
      <c r="F24" s="22">
        <v>3500</v>
      </c>
      <c r="G24" s="27">
        <f aca="true" t="shared" si="1" ref="G24:G35">E24*F24</f>
        <v>0</v>
      </c>
    </row>
    <row r="25" spans="1:7" ht="12.75">
      <c r="A25" s="5" t="s">
        <v>171</v>
      </c>
      <c r="B25" s="2"/>
      <c r="C25" s="9"/>
      <c r="D25" s="9"/>
      <c r="E25" s="19"/>
      <c r="F25" s="22">
        <v>2500</v>
      </c>
      <c r="G25" s="27">
        <f t="shared" si="1"/>
        <v>0</v>
      </c>
    </row>
    <row r="26" spans="1:7" ht="12.75">
      <c r="A26" s="5" t="s">
        <v>9</v>
      </c>
      <c r="B26" s="3"/>
      <c r="C26" s="9"/>
      <c r="D26" s="9"/>
      <c r="E26" s="18"/>
      <c r="F26" s="20">
        <v>1500</v>
      </c>
      <c r="G26" s="24">
        <f t="shared" si="1"/>
        <v>0</v>
      </c>
    </row>
    <row r="27" spans="1:7" ht="12.75">
      <c r="A27" s="5" t="s">
        <v>10</v>
      </c>
      <c r="B27" s="3"/>
      <c r="C27" s="9"/>
      <c r="D27" s="9"/>
      <c r="E27" s="18"/>
      <c r="F27" s="20">
        <v>1500</v>
      </c>
      <c r="G27" s="24">
        <f t="shared" si="1"/>
        <v>0</v>
      </c>
    </row>
    <row r="28" spans="1:7" ht="12.75">
      <c r="A28" s="5" t="s">
        <v>24</v>
      </c>
      <c r="B28" s="3"/>
      <c r="C28" s="9"/>
      <c r="D28" s="9"/>
      <c r="E28" s="18"/>
      <c r="F28" s="20">
        <v>1500</v>
      </c>
      <c r="G28" s="24">
        <f t="shared" si="1"/>
        <v>0</v>
      </c>
    </row>
    <row r="29" spans="1:7" ht="12.75">
      <c r="A29" s="5" t="s">
        <v>22</v>
      </c>
      <c r="B29" s="3"/>
      <c r="C29" s="9"/>
      <c r="D29" s="9"/>
      <c r="E29" s="18"/>
      <c r="F29" s="20">
        <v>2500</v>
      </c>
      <c r="G29" s="24">
        <f t="shared" si="1"/>
        <v>0</v>
      </c>
    </row>
    <row r="30" spans="1:7" ht="12.75">
      <c r="A30" s="5" t="s">
        <v>25</v>
      </c>
      <c r="B30" s="3"/>
      <c r="C30" s="9"/>
      <c r="D30" s="9"/>
      <c r="E30" s="18"/>
      <c r="F30" s="20">
        <v>1500</v>
      </c>
      <c r="G30" s="24">
        <f t="shared" si="1"/>
        <v>0</v>
      </c>
    </row>
    <row r="31" spans="1:7" ht="12.75">
      <c r="A31" s="5" t="s">
        <v>32</v>
      </c>
      <c r="B31" s="3"/>
      <c r="C31" s="9"/>
      <c r="D31" s="9"/>
      <c r="E31" s="18"/>
      <c r="F31" s="20">
        <v>2500</v>
      </c>
      <c r="G31" s="24">
        <f t="shared" si="1"/>
        <v>0</v>
      </c>
    </row>
    <row r="32" spans="1:8" ht="12.75">
      <c r="A32" s="5" t="s">
        <v>12</v>
      </c>
      <c r="B32" s="3"/>
      <c r="C32" s="9"/>
      <c r="D32" s="9"/>
      <c r="E32" s="18"/>
      <c r="F32" s="20">
        <v>1500</v>
      </c>
      <c r="G32" s="24">
        <f t="shared" si="1"/>
        <v>0</v>
      </c>
      <c r="H32" s="4"/>
    </row>
    <row r="33" spans="1:8" ht="12.75">
      <c r="A33" s="5" t="s">
        <v>172</v>
      </c>
      <c r="B33" s="3"/>
      <c r="C33" s="9"/>
      <c r="D33" s="9"/>
      <c r="E33" s="18"/>
      <c r="F33" s="20">
        <v>2500</v>
      </c>
      <c r="G33" s="24">
        <f t="shared" si="1"/>
        <v>0</v>
      </c>
      <c r="H33" s="4"/>
    </row>
    <row r="34" spans="1:7" ht="12.75">
      <c r="A34" s="5" t="s">
        <v>11</v>
      </c>
      <c r="B34" s="3"/>
      <c r="C34" s="9"/>
      <c r="D34" s="9"/>
      <c r="E34" s="18"/>
      <c r="F34" s="20">
        <v>800</v>
      </c>
      <c r="G34" s="24">
        <f t="shared" si="1"/>
        <v>0</v>
      </c>
    </row>
    <row r="35" spans="1:7" ht="12.75">
      <c r="A35" s="36" t="s">
        <v>33</v>
      </c>
      <c r="B35" s="3"/>
      <c r="C35" s="9"/>
      <c r="D35" s="9"/>
      <c r="E35" s="18"/>
      <c r="F35" s="20">
        <v>1000</v>
      </c>
      <c r="G35" s="24">
        <f t="shared" si="1"/>
        <v>0</v>
      </c>
    </row>
    <row r="36" spans="1:7" ht="12.75">
      <c r="A36" s="30" t="s">
        <v>133</v>
      </c>
      <c r="B36" s="28"/>
      <c r="C36" s="29"/>
      <c r="D36" s="32"/>
      <c r="E36" s="32"/>
      <c r="F36" s="35">
        <v>350</v>
      </c>
      <c r="G36" s="35">
        <f>D36*E36*F36</f>
        <v>0</v>
      </c>
    </row>
    <row r="37" spans="1:7" ht="12.75">
      <c r="A37" s="30" t="s">
        <v>173</v>
      </c>
      <c r="B37" s="28"/>
      <c r="C37" s="29"/>
      <c r="D37" s="33"/>
      <c r="E37" s="32"/>
      <c r="F37" s="35">
        <v>350</v>
      </c>
      <c r="G37" s="35">
        <f>D37*E37*F37</f>
        <v>0</v>
      </c>
    </row>
    <row r="38" spans="1:7" ht="12.75">
      <c r="A38" s="30" t="s">
        <v>77</v>
      </c>
      <c r="B38" s="28"/>
      <c r="C38" s="31"/>
      <c r="D38" s="37"/>
      <c r="E38" s="37"/>
      <c r="F38" s="35">
        <v>350</v>
      </c>
      <c r="G38" s="35">
        <f>D38*E38*F38</f>
        <v>0</v>
      </c>
    </row>
    <row r="39" spans="1:7" ht="12.75">
      <c r="A39" s="30" t="s">
        <v>118</v>
      </c>
      <c r="B39" s="28"/>
      <c r="C39" s="31"/>
      <c r="D39" s="37"/>
      <c r="E39" s="37"/>
      <c r="F39" s="35">
        <v>125</v>
      </c>
      <c r="G39" s="35">
        <f>D39*E39*F39</f>
        <v>0</v>
      </c>
    </row>
    <row r="40" spans="1:7" ht="12.75">
      <c r="A40" s="36" t="s">
        <v>34</v>
      </c>
      <c r="B40" s="3"/>
      <c r="C40" s="9"/>
      <c r="D40" s="9"/>
      <c r="E40" s="18"/>
      <c r="F40" s="20">
        <v>100</v>
      </c>
      <c r="G40" s="24">
        <f>E40*F40</f>
        <v>0</v>
      </c>
    </row>
    <row r="41" spans="1:7" ht="12.75">
      <c r="A41" s="36" t="s">
        <v>34</v>
      </c>
      <c r="B41" s="3"/>
      <c r="C41" s="9"/>
      <c r="D41" s="9"/>
      <c r="E41" s="18"/>
      <c r="F41" s="20"/>
      <c r="G41" s="24">
        <f>E41*F41</f>
        <v>0</v>
      </c>
    </row>
    <row r="42" spans="1:7" ht="12.75">
      <c r="A42" s="36" t="s">
        <v>53</v>
      </c>
      <c r="B42" s="3"/>
      <c r="C42" s="9"/>
      <c r="D42" s="9"/>
      <c r="E42" s="18"/>
      <c r="F42" s="20"/>
      <c r="G42" s="24">
        <f>E42*F42</f>
        <v>0</v>
      </c>
    </row>
    <row r="43" spans="1:7" ht="12.75">
      <c r="A43" s="36" t="s">
        <v>164</v>
      </c>
      <c r="B43" s="3"/>
      <c r="C43" s="9"/>
      <c r="D43" s="9"/>
      <c r="E43" s="18"/>
      <c r="F43" s="20"/>
      <c r="G43" s="24">
        <f>SUM(G24:G42)</f>
        <v>0</v>
      </c>
    </row>
    <row r="44" spans="1:7" ht="12.75">
      <c r="A44" s="5" t="s">
        <v>165</v>
      </c>
      <c r="B44" s="29"/>
      <c r="C44" s="187">
        <v>0.1</v>
      </c>
      <c r="D44" s="9"/>
      <c r="E44" s="18"/>
      <c r="F44" s="20"/>
      <c r="G44" s="24">
        <f>G43*C44</f>
        <v>0</v>
      </c>
    </row>
    <row r="45" spans="1:7" ht="12.75">
      <c r="A45" s="36" t="s">
        <v>166</v>
      </c>
      <c r="B45" s="3"/>
      <c r="C45" s="9"/>
      <c r="D45" s="9"/>
      <c r="E45" s="18"/>
      <c r="F45" s="20"/>
      <c r="G45" s="24">
        <f>G43-G44</f>
        <v>0</v>
      </c>
    </row>
    <row r="46" spans="1:7" ht="12.75">
      <c r="A46" s="43" t="s">
        <v>154</v>
      </c>
      <c r="B46" s="46"/>
      <c r="C46" s="175"/>
      <c r="D46" s="178" t="s">
        <v>155</v>
      </c>
      <c r="E46" s="46"/>
      <c r="F46" s="172"/>
      <c r="G46" s="44">
        <f>SUM(G17:G45)</f>
        <v>16000</v>
      </c>
    </row>
    <row r="47" spans="1:7" ht="12.75">
      <c r="A47" s="169"/>
      <c r="B47" s="1"/>
      <c r="C47" s="3"/>
      <c r="D47" s="77" t="s">
        <v>156</v>
      </c>
      <c r="E47" s="77" t="s">
        <v>157</v>
      </c>
      <c r="F47" s="170"/>
      <c r="G47" s="171"/>
    </row>
    <row r="48" spans="1:7" ht="12.75">
      <c r="A48" s="41" t="s">
        <v>158</v>
      </c>
      <c r="B48" s="42"/>
      <c r="C48" s="176"/>
      <c r="D48" s="173">
        <v>0.25</v>
      </c>
      <c r="E48" s="177">
        <f>SUM(G46*D48)</f>
        <v>4000</v>
      </c>
      <c r="F48" s="174"/>
      <c r="G48" s="38">
        <f>SUM(G46+E48)</f>
        <v>20000</v>
      </c>
    </row>
    <row r="50" ht="12.75">
      <c r="A50" t="s">
        <v>167</v>
      </c>
    </row>
    <row r="51" ht="12.75">
      <c r="F51" s="4"/>
    </row>
  </sheetData>
  <sheetProtection/>
  <printOptions/>
  <pageMargins left="0.75" right="0.75" top="1" bottom="1" header="0.5" footer="0.5"/>
  <pageSetup fitToHeight="1" fitToWidth="1" orientation="portrait" paperSize="10" scale="98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3.375" style="0" customWidth="1"/>
    <col min="2" max="2" width="10.625" style="0" bestFit="1" customWidth="1"/>
    <col min="3" max="3" width="8.125" style="0" bestFit="1" customWidth="1"/>
    <col min="4" max="5" width="8.00390625" style="0" customWidth="1"/>
    <col min="6" max="6" width="8.75390625" style="0" customWidth="1"/>
    <col min="7" max="7" width="13.125" style="0" customWidth="1"/>
    <col min="8" max="8" width="12.00390625" style="0" customWidth="1"/>
    <col min="9" max="13" width="11.00390625" style="0" customWidth="1"/>
    <col min="14" max="14" width="12.75390625" style="0" bestFit="1" customWidth="1"/>
    <col min="15" max="16384" width="11.00390625" style="0" customWidth="1"/>
  </cols>
  <sheetData>
    <row r="1" spans="1:13" ht="21" customHeight="1">
      <c r="A1" s="104" t="s">
        <v>94</v>
      </c>
      <c r="B1" s="103"/>
      <c r="C1" s="103"/>
      <c r="D1" s="103"/>
      <c r="E1" s="103"/>
      <c r="F1" s="103"/>
      <c r="G1" s="103"/>
      <c r="H1" s="103"/>
      <c r="I1" s="103"/>
      <c r="M1" s="192" t="s">
        <v>177</v>
      </c>
    </row>
    <row r="2" spans="13:14" ht="12.75">
      <c r="M2" s="189">
        <v>39339</v>
      </c>
      <c r="N2" s="191"/>
    </row>
    <row r="3" spans="2:13" ht="12.75">
      <c r="B3" s="77" t="s">
        <v>95</v>
      </c>
      <c r="C3" s="77"/>
      <c r="F3" s="78"/>
      <c r="M3" s="189">
        <v>39340</v>
      </c>
    </row>
    <row r="4" spans="2:13" ht="12.75">
      <c r="B4" s="128">
        <v>39336</v>
      </c>
      <c r="C4" s="188"/>
      <c r="D4" s="118"/>
      <c r="E4" s="114"/>
      <c r="F4" s="117"/>
      <c r="J4" s="115"/>
      <c r="M4" s="189">
        <v>39341</v>
      </c>
    </row>
    <row r="5" spans="1:13" ht="12.75">
      <c r="A5" s="60"/>
      <c r="B5" s="60"/>
      <c r="C5" s="60"/>
      <c r="D5" s="60"/>
      <c r="E5" s="60"/>
      <c r="F5" s="60"/>
      <c r="G5" s="60"/>
      <c r="H5" s="60"/>
      <c r="I5" s="60"/>
      <c r="M5" s="189">
        <v>39352</v>
      </c>
    </row>
    <row r="6" spans="1:9" ht="12.75">
      <c r="A6" s="129" t="s">
        <v>96</v>
      </c>
      <c r="B6" s="130" t="s">
        <v>84</v>
      </c>
      <c r="C6" s="130" t="s">
        <v>176</v>
      </c>
      <c r="D6" s="130" t="s">
        <v>85</v>
      </c>
      <c r="E6" s="130" t="s">
        <v>86</v>
      </c>
      <c r="F6" s="131" t="s">
        <v>83</v>
      </c>
      <c r="G6" s="132" t="s">
        <v>88</v>
      </c>
      <c r="H6" s="130" t="s">
        <v>92</v>
      </c>
      <c r="I6" s="133" t="s">
        <v>93</v>
      </c>
    </row>
    <row r="7" spans="1:9" ht="12.75">
      <c r="A7" s="79">
        <f>IF(WEEKDAY(B7,2)&lt;&gt;1,"",1+INT((B7-DATE(YEAR(B7+4-WEEKDAY(B7+6)),1,5)+WEEKDAY(DATE(YEAR(B7+4-WEEKDAY(B7+6)),1,3)))/7))</f>
        <v>37</v>
      </c>
      <c r="B7" s="116">
        <f>IF($B$4=0,"",$B$4)</f>
        <v>39336</v>
      </c>
      <c r="C7" s="190">
        <f>IF(COUNTIF($M$2:$M$50,B7)&gt;0,"X","")</f>
      </c>
      <c r="D7" s="108"/>
      <c r="E7" s="109"/>
      <c r="F7" s="110">
        <f>IF(E7&lt;&gt;"",(E7-D7+(E7&lt;D7))*1440/60,0)</f>
        <v>0</v>
      </c>
      <c r="G7" s="111">
        <f>SUM(F7:F20)</f>
        <v>24</v>
      </c>
      <c r="H7" s="77">
        <f aca="true" t="shared" si="0" ref="H7:H13">IF(E7&gt;0,1,"")</f>
      </c>
      <c r="I7" s="77">
        <f aca="true" t="shared" si="1" ref="I7:I13">IF(((E7-D7)+0)*24&gt;5,(((E7-D7)+0)*24)-5,"")</f>
      </c>
    </row>
    <row r="8" spans="1:9" ht="12.75">
      <c r="A8" s="79">
        <f aca="true" t="shared" si="2" ref="A8:A48">IF(WEEKDAY(B8,2)&lt;&gt;1,"",1+INT((B8-DATE(YEAR(B8+4-WEEKDAY(B8+6)),1,5)+WEEKDAY(DATE(YEAR(B8+4-WEEKDAY(B8+6)),1,3)))/7))</f>
      </c>
      <c r="B8" s="116">
        <f>IF($B$4=0,"",$B$4)+1</f>
        <v>39337</v>
      </c>
      <c r="C8" s="190">
        <f>IF(COUNTIF($M$2:$M$50,B8)&gt;0,"X","")</f>
      </c>
      <c r="D8" s="112"/>
      <c r="E8" s="112"/>
      <c r="F8" s="110">
        <f aca="true" t="shared" si="3" ref="F8:F48">IF(E8&lt;&gt;"",(E8-D8+(E8&lt;D8))*1440/60,0)</f>
        <v>0</v>
      </c>
      <c r="G8" s="107"/>
      <c r="H8" s="77">
        <f t="shared" si="0"/>
      </c>
      <c r="I8" s="77">
        <f t="shared" si="1"/>
      </c>
    </row>
    <row r="9" spans="1:9" ht="12.75">
      <c r="A9" s="79">
        <f t="shared" si="2"/>
      </c>
      <c r="B9" s="116">
        <f>IF($B$4=0,"",$B$4)+2</f>
        <v>39338</v>
      </c>
      <c r="C9" s="190">
        <f>IF(COUNTIF($M$2:$M$50,B9)&gt;0,"X","")</f>
      </c>
      <c r="D9" s="112">
        <v>0.4166666666666667</v>
      </c>
      <c r="E9" s="193">
        <v>0.75</v>
      </c>
      <c r="F9" s="110">
        <f t="shared" si="3"/>
        <v>8</v>
      </c>
      <c r="G9" s="107"/>
      <c r="H9" s="77">
        <f t="shared" si="0"/>
        <v>1</v>
      </c>
      <c r="I9" s="77">
        <f t="shared" si="1"/>
        <v>3</v>
      </c>
    </row>
    <row r="10" spans="1:9" ht="12.75">
      <c r="A10" s="79">
        <f t="shared" si="2"/>
      </c>
      <c r="B10" s="116">
        <f>IF($B$4=0,"",$B$4)+3</f>
        <v>39339</v>
      </c>
      <c r="C10" s="190" t="str">
        <f>IF(COUNTIF($M$2:$M$50,B10)&gt;0,"X","")</f>
        <v>X</v>
      </c>
      <c r="D10" s="112">
        <v>0.8333333333333334</v>
      </c>
      <c r="E10" s="112">
        <v>0.9583333333333334</v>
      </c>
      <c r="F10" s="110">
        <f t="shared" si="3"/>
        <v>3</v>
      </c>
      <c r="G10" s="107"/>
      <c r="H10" s="77">
        <f t="shared" si="0"/>
        <v>1</v>
      </c>
      <c r="I10" s="77">
        <f t="shared" si="1"/>
      </c>
    </row>
    <row r="11" spans="1:9" ht="12.75">
      <c r="A11" s="79">
        <f t="shared" si="2"/>
      </c>
      <c r="B11" s="116">
        <f>IF($B$4=0,"",$B$4)+4</f>
        <v>39340</v>
      </c>
      <c r="C11" s="190" t="str">
        <f>IF(COUNTIF($M$2:$M$50,B11)&gt;0,"X","")</f>
        <v>X</v>
      </c>
      <c r="D11" s="108"/>
      <c r="E11" s="109"/>
      <c r="F11" s="110">
        <f t="shared" si="3"/>
        <v>0</v>
      </c>
      <c r="G11" s="107"/>
      <c r="H11" s="77">
        <f t="shared" si="0"/>
      </c>
      <c r="I11" s="77">
        <f t="shared" si="1"/>
      </c>
    </row>
    <row r="12" spans="1:9" ht="12.75">
      <c r="A12" s="79">
        <f t="shared" si="2"/>
      </c>
      <c r="B12" s="116">
        <f>IF($B$4=0,"",$B$4)+5</f>
        <v>39341</v>
      </c>
      <c r="C12" s="190" t="str">
        <f>IF(COUNTIF($M$2:$M$50,B12)&gt;0,"X","")</f>
        <v>X</v>
      </c>
      <c r="D12" s="108"/>
      <c r="E12" s="108"/>
      <c r="F12" s="110">
        <f t="shared" si="3"/>
        <v>0</v>
      </c>
      <c r="G12" s="107"/>
      <c r="H12" s="77">
        <f t="shared" si="0"/>
      </c>
      <c r="I12" s="77">
        <f t="shared" si="1"/>
      </c>
    </row>
    <row r="13" spans="1:9" ht="12.75">
      <c r="A13" s="79">
        <f t="shared" si="2"/>
      </c>
      <c r="B13" s="116">
        <f>IF($B$4=0,"",$B$4)+6</f>
        <v>39342</v>
      </c>
      <c r="C13" s="190">
        <f>IF(COUNTIF($M$2:$M$50,B13)&gt;0,"X","")</f>
      </c>
      <c r="D13" s="109">
        <v>0.4166666666666667</v>
      </c>
      <c r="E13" s="109">
        <v>0.9583333333333334</v>
      </c>
      <c r="F13" s="110">
        <f t="shared" si="3"/>
        <v>13.000000000000002</v>
      </c>
      <c r="G13" s="107"/>
      <c r="H13" s="77">
        <f t="shared" si="0"/>
        <v>1</v>
      </c>
      <c r="I13" s="77">
        <f t="shared" si="1"/>
        <v>8.000000000000002</v>
      </c>
    </row>
    <row r="14" spans="1:9" ht="12.75">
      <c r="A14" s="79">
        <f t="shared" si="2"/>
        <v>38</v>
      </c>
      <c r="B14" s="116">
        <f>IF($B$4=0,"",$B$4)+7</f>
        <v>39343</v>
      </c>
      <c r="C14" s="190">
        <f>IF(COUNTIF($M$2:$M$50,B14)&gt;0,"X","")</f>
      </c>
      <c r="D14" s="112"/>
      <c r="E14" s="112"/>
      <c r="F14" s="110">
        <f t="shared" si="3"/>
        <v>0</v>
      </c>
      <c r="G14" s="107"/>
      <c r="H14" s="77">
        <f aca="true" t="shared" si="4" ref="H14:H48">IF(E14&gt;0,1,"")</f>
      </c>
      <c r="I14" s="77">
        <f aca="true" t="shared" si="5" ref="I14:I48">IF(((E14-D14)+0)*24&gt;5,(((E14-D14)+0)*24)-5,"")</f>
      </c>
    </row>
    <row r="15" spans="1:9" ht="12.75">
      <c r="A15" s="79">
        <f t="shared" si="2"/>
      </c>
      <c r="B15" s="116">
        <f>IF($B$4=0,"",$B$4)+8</f>
        <v>39344</v>
      </c>
      <c r="C15" s="190">
        <f>IF(COUNTIF($M$2:$M$50,B15)&gt;0,"X","")</f>
      </c>
      <c r="D15" s="112"/>
      <c r="E15" s="112"/>
      <c r="F15" s="110">
        <f t="shared" si="3"/>
        <v>0</v>
      </c>
      <c r="G15" s="107"/>
      <c r="H15" s="77">
        <f t="shared" si="4"/>
      </c>
      <c r="I15" s="77">
        <f t="shared" si="5"/>
      </c>
    </row>
    <row r="16" spans="1:9" ht="12.75">
      <c r="A16" s="79">
        <f t="shared" si="2"/>
      </c>
      <c r="B16" s="116">
        <f>IF($B$4=0,"",$B$4)+9</f>
        <v>39345</v>
      </c>
      <c r="C16" s="190">
        <f>IF(COUNTIF($M$2:$M$50,B16)&gt;0,"X","")</f>
      </c>
      <c r="D16" s="113"/>
      <c r="E16" s="113"/>
      <c r="F16" s="110">
        <f t="shared" si="3"/>
        <v>0</v>
      </c>
      <c r="G16" s="107"/>
      <c r="H16" s="77">
        <f t="shared" si="4"/>
      </c>
      <c r="I16" s="77">
        <f t="shared" si="5"/>
      </c>
    </row>
    <row r="17" spans="1:9" ht="12.75">
      <c r="A17" s="79">
        <f t="shared" si="2"/>
      </c>
      <c r="B17" s="116">
        <f>IF($B$4=0,"",$B$4)+10</f>
        <v>39346</v>
      </c>
      <c r="C17" s="190">
        <f>IF(COUNTIF($M$2:$M$50,B17)&gt;0,"X","")</f>
      </c>
      <c r="D17" s="113"/>
      <c r="E17" s="113"/>
      <c r="F17" s="110">
        <f t="shared" si="3"/>
        <v>0</v>
      </c>
      <c r="G17" s="107"/>
      <c r="H17" s="77">
        <f t="shared" si="4"/>
      </c>
      <c r="I17" s="77">
        <f t="shared" si="5"/>
      </c>
    </row>
    <row r="18" spans="1:9" ht="12.75">
      <c r="A18" s="79">
        <f t="shared" si="2"/>
      </c>
      <c r="B18" s="116">
        <f>IF($B$4=0,"",$B$4)+11</f>
        <v>39347</v>
      </c>
      <c r="C18" s="190">
        <f>IF(COUNTIF($M$2:$M$50,B18)&gt;0,"X","")</f>
      </c>
      <c r="D18" s="113"/>
      <c r="E18" s="113"/>
      <c r="F18" s="110">
        <f t="shared" si="3"/>
        <v>0</v>
      </c>
      <c r="G18" s="107"/>
      <c r="H18" s="77">
        <f t="shared" si="4"/>
      </c>
      <c r="I18" s="77">
        <f t="shared" si="5"/>
      </c>
    </row>
    <row r="19" spans="1:9" ht="12.75">
      <c r="A19" s="79">
        <f t="shared" si="2"/>
      </c>
      <c r="B19" s="116">
        <f>IF($B$4=0,"",$B$4)+12</f>
        <v>39348</v>
      </c>
      <c r="C19" s="190">
        <f>IF(COUNTIF($M$2:$M$50,B19)&gt;0,"X","")</f>
      </c>
      <c r="D19" s="113"/>
      <c r="E19" s="113"/>
      <c r="F19" s="110">
        <f t="shared" si="3"/>
        <v>0</v>
      </c>
      <c r="G19" s="107"/>
      <c r="H19" s="77">
        <f t="shared" si="4"/>
      </c>
      <c r="I19" s="77">
        <f t="shared" si="5"/>
      </c>
    </row>
    <row r="20" spans="1:9" ht="12.75">
      <c r="A20" s="79">
        <f t="shared" si="2"/>
      </c>
      <c r="B20" s="116">
        <f>IF($B$4=0,"",$B$4)+13</f>
        <v>39349</v>
      </c>
      <c r="C20" s="190">
        <f>IF(COUNTIF($M$2:$M$50,B20)&gt;0,"X","")</f>
      </c>
      <c r="D20" s="113"/>
      <c r="E20" s="113"/>
      <c r="F20" s="110">
        <f t="shared" si="3"/>
        <v>0</v>
      </c>
      <c r="G20" s="107"/>
      <c r="H20" s="77">
        <f t="shared" si="4"/>
      </c>
      <c r="I20" s="77">
        <f t="shared" si="5"/>
      </c>
    </row>
    <row r="21" spans="1:9" ht="12.75">
      <c r="A21" s="79">
        <f t="shared" si="2"/>
        <v>39</v>
      </c>
      <c r="B21" s="116">
        <f>IF($B$4=0,"",$B$4)+14</f>
        <v>39350</v>
      </c>
      <c r="C21" s="190">
        <f>IF(COUNTIF($M$2:$M$50,B21)&gt;0,"X","")</f>
      </c>
      <c r="F21" s="110">
        <f t="shared" si="3"/>
        <v>0</v>
      </c>
      <c r="H21" s="77">
        <f t="shared" si="4"/>
      </c>
      <c r="I21" s="77">
        <f t="shared" si="5"/>
      </c>
    </row>
    <row r="22" spans="1:9" ht="12.75">
      <c r="A22" s="79">
        <f t="shared" si="2"/>
      </c>
      <c r="B22" s="116">
        <f>IF($B$4=0,"",$B$4)+15</f>
        <v>39351</v>
      </c>
      <c r="C22" s="190">
        <f>IF(COUNTIF($M$2:$M$50,B22)&gt;0,"X","")</f>
      </c>
      <c r="F22" s="110">
        <f t="shared" si="3"/>
        <v>0</v>
      </c>
      <c r="H22" s="77">
        <f t="shared" si="4"/>
      </c>
      <c r="I22" s="77">
        <f t="shared" si="5"/>
      </c>
    </row>
    <row r="23" spans="1:9" ht="12.75">
      <c r="A23" s="79">
        <f t="shared" si="2"/>
      </c>
      <c r="B23" s="116">
        <f>IF($B$4=0,"",$B$4)+16</f>
        <v>39352</v>
      </c>
      <c r="C23" s="190" t="str">
        <f>IF(COUNTIF($M$2:$M$50,B23)&gt;0,"X","")</f>
        <v>X</v>
      </c>
      <c r="F23" s="110">
        <f t="shared" si="3"/>
        <v>0</v>
      </c>
      <c r="H23" s="77">
        <f t="shared" si="4"/>
      </c>
      <c r="I23" s="77">
        <f t="shared" si="5"/>
      </c>
    </row>
    <row r="24" spans="1:9" ht="12.75">
      <c r="A24" s="79">
        <f t="shared" si="2"/>
      </c>
      <c r="B24" s="116">
        <f>IF($B$4=0,"",$B$4)+17</f>
        <v>39353</v>
      </c>
      <c r="C24" s="190">
        <f>IF(COUNTIF($M$2:$M$50,B24)&gt;0,"X","")</f>
      </c>
      <c r="F24" s="110">
        <f t="shared" si="3"/>
        <v>0</v>
      </c>
      <c r="H24" s="77">
        <f t="shared" si="4"/>
      </c>
      <c r="I24" s="77">
        <f t="shared" si="5"/>
      </c>
    </row>
    <row r="25" spans="1:9" ht="12.75">
      <c r="A25" s="79">
        <f t="shared" si="2"/>
      </c>
      <c r="B25" s="116">
        <f>IF($B$4=0,"",$B$4)+18</f>
        <v>39354</v>
      </c>
      <c r="C25" s="190">
        <f>IF(COUNTIF($M$2:$M$50,B25)&gt;0,"X","")</f>
      </c>
      <c r="F25" s="110">
        <f t="shared" si="3"/>
        <v>0</v>
      </c>
      <c r="H25" s="77">
        <f t="shared" si="4"/>
      </c>
      <c r="I25" s="77">
        <f t="shared" si="5"/>
      </c>
    </row>
    <row r="26" spans="1:9" ht="12.75">
      <c r="A26" s="79">
        <f t="shared" si="2"/>
      </c>
      <c r="B26" s="116">
        <f>IF($B$4=0,"",$B$4)+19</f>
        <v>39355</v>
      </c>
      <c r="C26" s="190">
        <f>IF(COUNTIF($M$2:$M$50,B26)&gt;0,"X","")</f>
      </c>
      <c r="F26" s="110">
        <f t="shared" si="3"/>
        <v>0</v>
      </c>
      <c r="H26" s="77">
        <f t="shared" si="4"/>
      </c>
      <c r="I26" s="77">
        <f t="shared" si="5"/>
      </c>
    </row>
    <row r="27" spans="1:9" ht="12.75">
      <c r="A27" s="79">
        <f t="shared" si="2"/>
      </c>
      <c r="B27" s="116">
        <f>IF($B$4=0,"",$B$4)+20</f>
        <v>39356</v>
      </c>
      <c r="C27" s="190">
        <f>IF(COUNTIF($M$2:$M$50,B27)&gt;0,"X","")</f>
      </c>
      <c r="F27" s="110">
        <f t="shared" si="3"/>
        <v>0</v>
      </c>
      <c r="H27" s="77">
        <f t="shared" si="4"/>
      </c>
      <c r="I27" s="77">
        <f t="shared" si="5"/>
      </c>
    </row>
    <row r="28" spans="1:9" ht="12.75">
      <c r="A28" s="79">
        <f t="shared" si="2"/>
        <v>40</v>
      </c>
      <c r="B28" s="116">
        <f>IF($B$4=0,"",$B$4)+21</f>
        <v>39357</v>
      </c>
      <c r="C28" s="190">
        <f>IF(COUNTIF($M$2:$M$50,B28)&gt;0,"X","")</f>
      </c>
      <c r="F28" s="110">
        <f t="shared" si="3"/>
        <v>0</v>
      </c>
      <c r="H28" s="77">
        <f t="shared" si="4"/>
      </c>
      <c r="I28" s="77">
        <f t="shared" si="5"/>
      </c>
    </row>
    <row r="29" spans="1:9" ht="12.75">
      <c r="A29" s="79">
        <f t="shared" si="2"/>
      </c>
      <c r="B29" s="116">
        <f>IF($B$4=0,"",$B$4)+22</f>
        <v>39358</v>
      </c>
      <c r="C29" s="190">
        <f>IF(COUNTIF($M$2:$M$50,B29)&gt;0,"X","")</f>
      </c>
      <c r="F29" s="110">
        <f t="shared" si="3"/>
        <v>0</v>
      </c>
      <c r="H29" s="77">
        <f t="shared" si="4"/>
      </c>
      <c r="I29" s="77">
        <f t="shared" si="5"/>
      </c>
    </row>
    <row r="30" spans="1:9" ht="12.75">
      <c r="A30" s="79">
        <f t="shared" si="2"/>
      </c>
      <c r="B30" s="116">
        <f>IF($B$4=0,"",$B$4)+23</f>
        <v>39359</v>
      </c>
      <c r="C30" s="190">
        <f>IF(COUNTIF($M$2:$M$50,B30)&gt;0,"X","")</f>
      </c>
      <c r="F30" s="110">
        <f t="shared" si="3"/>
        <v>0</v>
      </c>
      <c r="H30" s="77">
        <f t="shared" si="4"/>
      </c>
      <c r="I30" s="77">
        <f t="shared" si="5"/>
      </c>
    </row>
    <row r="31" spans="1:9" ht="12.75">
      <c r="A31" s="79">
        <f t="shared" si="2"/>
      </c>
      <c r="B31" s="116">
        <f>IF($B$4=0,"",$B$4)+24</f>
        <v>39360</v>
      </c>
      <c r="C31" s="190">
        <f>IF(COUNTIF($M$2:$M$50,B31)&gt;0,"X","")</f>
      </c>
      <c r="F31" s="110">
        <f t="shared" si="3"/>
        <v>0</v>
      </c>
      <c r="H31" s="77">
        <f t="shared" si="4"/>
      </c>
      <c r="I31" s="77">
        <f t="shared" si="5"/>
      </c>
    </row>
    <row r="32" spans="1:9" ht="12.75">
      <c r="A32" s="79">
        <f t="shared" si="2"/>
      </c>
      <c r="B32" s="116">
        <f>IF($B$4=0,"",$B$4)+25</f>
        <v>39361</v>
      </c>
      <c r="C32" s="190">
        <f>IF(COUNTIF($M$2:$M$50,B32)&gt;0,"X","")</f>
      </c>
      <c r="F32" s="110">
        <f t="shared" si="3"/>
        <v>0</v>
      </c>
      <c r="H32" s="77">
        <f t="shared" si="4"/>
      </c>
      <c r="I32" s="77">
        <f t="shared" si="5"/>
      </c>
    </row>
    <row r="33" spans="1:9" ht="12.75">
      <c r="A33" s="79">
        <f t="shared" si="2"/>
      </c>
      <c r="B33" s="116">
        <f>IF($B$4=0,"",$B$4)+26</f>
        <v>39362</v>
      </c>
      <c r="C33" s="190">
        <f>IF(COUNTIF($M$2:$M$50,B33)&gt;0,"X","")</f>
      </c>
      <c r="F33" s="110">
        <f t="shared" si="3"/>
        <v>0</v>
      </c>
      <c r="H33" s="77">
        <f t="shared" si="4"/>
      </c>
      <c r="I33" s="77">
        <f t="shared" si="5"/>
      </c>
    </row>
    <row r="34" spans="1:9" ht="12.75">
      <c r="A34" s="79">
        <f t="shared" si="2"/>
      </c>
      <c r="B34" s="116">
        <f>IF($B$4=0,"",$B$4)+27</f>
        <v>39363</v>
      </c>
      <c r="C34" s="190">
        <f>IF(COUNTIF($M$2:$M$50,B34)&gt;0,"X","")</f>
      </c>
      <c r="F34" s="110">
        <f t="shared" si="3"/>
        <v>0</v>
      </c>
      <c r="H34" s="77">
        <f t="shared" si="4"/>
      </c>
      <c r="I34" s="77">
        <f t="shared" si="5"/>
      </c>
    </row>
    <row r="35" spans="1:9" ht="12.75">
      <c r="A35" s="79">
        <f t="shared" si="2"/>
        <v>41</v>
      </c>
      <c r="B35" s="116">
        <f>IF($B$4=0,"",$B$4)+28</f>
        <v>39364</v>
      </c>
      <c r="C35" s="190">
        <f>IF(COUNTIF($M$2:$M$50,B35)&gt;0,"X","")</f>
      </c>
      <c r="F35" s="110">
        <f t="shared" si="3"/>
        <v>0</v>
      </c>
      <c r="H35" s="77">
        <f t="shared" si="4"/>
      </c>
      <c r="I35" s="77">
        <f t="shared" si="5"/>
      </c>
    </row>
    <row r="36" spans="1:9" ht="12.75">
      <c r="A36" s="79">
        <f t="shared" si="2"/>
      </c>
      <c r="B36" s="116">
        <f>IF($B$4=0,"",$B$4)+29</f>
        <v>39365</v>
      </c>
      <c r="C36" s="190">
        <f>IF(COUNTIF($M$2:$M$50,B36)&gt;0,"X","")</f>
      </c>
      <c r="F36" s="110">
        <f t="shared" si="3"/>
        <v>0</v>
      </c>
      <c r="H36" s="77">
        <f t="shared" si="4"/>
      </c>
      <c r="I36" s="77">
        <f t="shared" si="5"/>
      </c>
    </row>
    <row r="37" spans="1:9" ht="12.75">
      <c r="A37" s="79">
        <f t="shared" si="2"/>
      </c>
      <c r="B37" s="116">
        <f>IF($B$4=0,"",$B$4)+30</f>
        <v>39366</v>
      </c>
      <c r="C37" s="190">
        <f>IF(COUNTIF($M$2:$M$50,B37)&gt;0,"X","")</f>
      </c>
      <c r="F37" s="110">
        <f t="shared" si="3"/>
        <v>0</v>
      </c>
      <c r="H37" s="77">
        <f t="shared" si="4"/>
      </c>
      <c r="I37" s="77">
        <f t="shared" si="5"/>
      </c>
    </row>
    <row r="38" spans="1:9" ht="12.75">
      <c r="A38" s="79">
        <f t="shared" si="2"/>
      </c>
      <c r="B38" s="116">
        <f>IF($B$4=0,"",$B$4)+31</f>
        <v>39367</v>
      </c>
      <c r="C38" s="190">
        <f>IF(COUNTIF($M$2:$M$50,B38)&gt;0,"X","")</f>
      </c>
      <c r="F38" s="110">
        <f t="shared" si="3"/>
        <v>0</v>
      </c>
      <c r="H38" s="77">
        <f t="shared" si="4"/>
      </c>
      <c r="I38" s="77">
        <f t="shared" si="5"/>
      </c>
    </row>
    <row r="39" spans="1:9" ht="12.75">
      <c r="A39" s="79">
        <f t="shared" si="2"/>
      </c>
      <c r="B39" s="116">
        <f>IF($B$4=0,"",$B$4)+32</f>
        <v>39368</v>
      </c>
      <c r="C39" s="190">
        <f>IF(COUNTIF($M$2:$M$50,B39)&gt;0,"X","")</f>
      </c>
      <c r="F39" s="110">
        <f t="shared" si="3"/>
        <v>0</v>
      </c>
      <c r="H39" s="77">
        <f t="shared" si="4"/>
      </c>
      <c r="I39" s="77">
        <f t="shared" si="5"/>
      </c>
    </row>
    <row r="40" spans="1:9" ht="12.75">
      <c r="A40" s="79">
        <f t="shared" si="2"/>
      </c>
      <c r="B40" s="116">
        <f>IF($B$4=0,"",$B$4)+33</f>
        <v>39369</v>
      </c>
      <c r="C40" s="190">
        <f>IF(COUNTIF($M$2:$M$50,B40)&gt;0,"X","")</f>
      </c>
      <c r="F40" s="110">
        <f t="shared" si="3"/>
        <v>0</v>
      </c>
      <c r="H40" s="77">
        <f t="shared" si="4"/>
      </c>
      <c r="I40" s="77">
        <f t="shared" si="5"/>
      </c>
    </row>
    <row r="41" spans="1:9" ht="12.75">
      <c r="A41" s="79">
        <f t="shared" si="2"/>
      </c>
      <c r="B41" s="116">
        <f>IF($B$4=0,"",$B$4)+34</f>
        <v>39370</v>
      </c>
      <c r="C41" s="190">
        <f>IF(COUNTIF($M$2:$M$50,B41)&gt;0,"X","")</f>
      </c>
      <c r="F41" s="110">
        <f t="shared" si="3"/>
        <v>0</v>
      </c>
      <c r="H41" s="77">
        <f t="shared" si="4"/>
      </c>
      <c r="I41" s="77">
        <f t="shared" si="5"/>
      </c>
    </row>
    <row r="42" spans="1:9" ht="12.75">
      <c r="A42" s="79">
        <f t="shared" si="2"/>
        <v>42</v>
      </c>
      <c r="B42" s="116">
        <f>IF($B$4=0,"",$B$4)+35</f>
        <v>39371</v>
      </c>
      <c r="C42" s="190">
        <f>IF(COUNTIF($M$2:$M$50,B42)&gt;0,"X","")</f>
      </c>
      <c r="F42" s="110">
        <f t="shared" si="3"/>
        <v>0</v>
      </c>
      <c r="H42" s="77">
        <f t="shared" si="4"/>
      </c>
      <c r="I42" s="77">
        <f t="shared" si="5"/>
      </c>
    </row>
    <row r="43" spans="1:9" ht="12.75">
      <c r="A43" s="79">
        <f t="shared" si="2"/>
      </c>
      <c r="B43" s="116">
        <f>IF($B$4=0,"",$B$4)+36</f>
        <v>39372</v>
      </c>
      <c r="C43" s="190">
        <f>IF(COUNTIF($M$2:$M$50,B43)&gt;0,"X","")</f>
      </c>
      <c r="F43" s="110">
        <f t="shared" si="3"/>
        <v>0</v>
      </c>
      <c r="H43" s="77">
        <f t="shared" si="4"/>
      </c>
      <c r="I43" s="77">
        <f t="shared" si="5"/>
      </c>
    </row>
    <row r="44" spans="1:9" ht="12.75">
      <c r="A44" s="79">
        <f t="shared" si="2"/>
      </c>
      <c r="B44" s="116">
        <f>IF($B$4=0,"",$B$4)+37</f>
        <v>39373</v>
      </c>
      <c r="C44" s="190">
        <f>IF(COUNTIF($M$2:$M$50,B44)&gt;0,"X","")</f>
      </c>
      <c r="F44" s="110">
        <f t="shared" si="3"/>
        <v>0</v>
      </c>
      <c r="H44" s="77">
        <f t="shared" si="4"/>
      </c>
      <c r="I44" s="77">
        <f t="shared" si="5"/>
      </c>
    </row>
    <row r="45" spans="1:9" ht="12.75">
      <c r="A45" s="79">
        <f t="shared" si="2"/>
      </c>
      <c r="B45" s="116">
        <f>IF($B$4=0,"",$B$4)+38</f>
        <v>39374</v>
      </c>
      <c r="C45" s="190">
        <f>IF(COUNTIF($M$2:$M$50,B45)&gt;0,"X","")</f>
      </c>
      <c r="F45" s="110">
        <f t="shared" si="3"/>
        <v>0</v>
      </c>
      <c r="H45" s="77">
        <f t="shared" si="4"/>
      </c>
      <c r="I45" s="77">
        <f t="shared" si="5"/>
      </c>
    </row>
    <row r="46" spans="1:9" ht="12.75">
      <c r="A46" s="79">
        <f t="shared" si="2"/>
      </c>
      <c r="B46" s="116">
        <f>IF($B$4=0,"",$B$4)+39</f>
        <v>39375</v>
      </c>
      <c r="C46" s="190">
        <f>IF(COUNTIF($M$2:$M$50,B46)&gt;0,"X","")</f>
      </c>
      <c r="F46" s="110">
        <f t="shared" si="3"/>
        <v>0</v>
      </c>
      <c r="H46" s="77">
        <f t="shared" si="4"/>
      </c>
      <c r="I46" s="77">
        <f t="shared" si="5"/>
      </c>
    </row>
    <row r="47" spans="1:9" ht="12.75">
      <c r="A47" s="79">
        <f t="shared" si="2"/>
      </c>
      <c r="B47" s="116">
        <f>IF($B$4=0,"",$B$4)+40</f>
        <v>39376</v>
      </c>
      <c r="C47" s="190">
        <f>IF(COUNTIF($M$2:$M$50,B47)&gt;0,"X","")</f>
      </c>
      <c r="F47" s="110">
        <f t="shared" si="3"/>
        <v>0</v>
      </c>
      <c r="H47" s="77">
        <f t="shared" si="4"/>
      </c>
      <c r="I47" s="77">
        <f t="shared" si="5"/>
      </c>
    </row>
    <row r="48" spans="1:9" ht="12.75">
      <c r="A48" s="79">
        <f t="shared" si="2"/>
      </c>
      <c r="B48" s="116">
        <f>IF($B$4=0,"",$B$4)+41</f>
        <v>39377</v>
      </c>
      <c r="C48" s="190">
        <f>IF(COUNTIF($M$2:$M$50,B48)&gt;0,"X","")</f>
      </c>
      <c r="F48" s="110">
        <f t="shared" si="3"/>
        <v>0</v>
      </c>
      <c r="H48" s="77">
        <f t="shared" si="4"/>
      </c>
      <c r="I48" s="77">
        <f t="shared" si="5"/>
      </c>
    </row>
    <row r="49" spans="2:3" ht="12.75">
      <c r="B49" s="116"/>
      <c r="C49" s="116"/>
    </row>
    <row r="50" spans="2:3" ht="12.75">
      <c r="B50" s="116"/>
      <c r="C50" s="116"/>
    </row>
    <row r="52" spans="2:3" ht="12.75">
      <c r="B52" s="116"/>
      <c r="C52" s="116"/>
    </row>
  </sheetData>
  <sheetProtection/>
  <printOptions/>
  <pageMargins left="0.75" right="0.75" top="1" bottom="1" header="0.5" footer="0.5"/>
  <pageSetup fitToHeight="1" fitToWidth="1" orientation="portrait" paperSize="9" scale="95" r:id="rId4"/>
  <ignoredErrors>
    <ignoredError sqref="B25" 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zoomScalePageLayoutView="0" workbookViewId="0" topLeftCell="A1">
      <selection activeCell="G51" sqref="G51"/>
    </sheetView>
  </sheetViews>
  <sheetFormatPr defaultColWidth="9.00390625" defaultRowHeight="12.75"/>
  <cols>
    <col min="1" max="1" width="11.00390625" style="0" customWidth="1"/>
    <col min="2" max="2" width="6.875" style="0" customWidth="1"/>
    <col min="3" max="3" width="10.375" style="0" customWidth="1"/>
    <col min="4" max="4" width="6.75390625" style="0" customWidth="1"/>
    <col min="5" max="5" width="10.75390625" style="0" customWidth="1"/>
    <col min="6" max="6" width="14.125" style="0" customWidth="1"/>
    <col min="7" max="7" width="11.125" style="0" customWidth="1"/>
    <col min="8" max="16384" width="11.00390625" style="0" customWidth="1"/>
  </cols>
  <sheetData>
    <row r="1" spans="1:7" ht="19.5" customHeight="1">
      <c r="A1" s="104" t="s">
        <v>80</v>
      </c>
      <c r="B1" s="103"/>
      <c r="C1" s="103"/>
      <c r="D1" s="103"/>
      <c r="E1" s="103"/>
      <c r="F1" s="103"/>
      <c r="G1" s="103"/>
    </row>
    <row r="3" spans="1:3" ht="12.75">
      <c r="A3" t="s">
        <v>35</v>
      </c>
      <c r="C3">
        <f>Regningsgrundlag!B3</f>
        <v>0</v>
      </c>
    </row>
    <row r="4" spans="1:3" ht="12.75">
      <c r="A4" t="s">
        <v>136</v>
      </c>
      <c r="C4">
        <f>Regningsgrundlag!B4</f>
        <v>0</v>
      </c>
    </row>
    <row r="5" spans="1:3" ht="12.75">
      <c r="A5" t="s">
        <v>36</v>
      </c>
      <c r="C5">
        <f>Regningsgrundlag!B5</f>
        <v>0</v>
      </c>
    </row>
    <row r="6" spans="1:3" ht="12.75">
      <c r="A6" t="s">
        <v>132</v>
      </c>
      <c r="C6">
        <f>Regningsgrundlag!B6</f>
        <v>0</v>
      </c>
    </row>
    <row r="7" spans="1:3" ht="12.75">
      <c r="A7" t="s">
        <v>37</v>
      </c>
      <c r="C7">
        <f>Regningsgrundlag!B7</f>
        <v>0</v>
      </c>
    </row>
    <row r="8" spans="1:3" ht="12.75">
      <c r="A8" t="s">
        <v>38</v>
      </c>
      <c r="C8" s="154">
        <f>Regningsgrundlag!B8</f>
        <v>0</v>
      </c>
    </row>
    <row r="9" spans="1:3" ht="12.75">
      <c r="A9" t="s">
        <v>40</v>
      </c>
      <c r="C9">
        <f>Regningsgrundlag!B9</f>
        <v>0</v>
      </c>
    </row>
    <row r="10" spans="1:3" ht="12.75">
      <c r="A10" t="s">
        <v>42</v>
      </c>
      <c r="C10">
        <f>Regningsgrundlag!B10</f>
        <v>0</v>
      </c>
    </row>
    <row r="11" spans="1:3" ht="12.75">
      <c r="A11" t="s">
        <v>43</v>
      </c>
      <c r="C11">
        <f>Regningsgrundlag!B11</f>
        <v>0</v>
      </c>
    </row>
    <row r="12" spans="1:3" ht="12.75">
      <c r="A12" t="s">
        <v>135</v>
      </c>
      <c r="C12" s="154">
        <f>Regningsgrundlag!B12</f>
        <v>0</v>
      </c>
    </row>
    <row r="13" spans="1:3" ht="12.75">
      <c r="A13" t="s">
        <v>41</v>
      </c>
      <c r="C13">
        <f>Regningsgrundlag!B13</f>
        <v>0</v>
      </c>
    </row>
    <row r="16" spans="1:7" ht="12.75">
      <c r="A16" s="151" t="s">
        <v>48</v>
      </c>
      <c r="B16" s="55"/>
      <c r="C16" s="55"/>
      <c r="D16" s="55"/>
      <c r="E16" s="55"/>
      <c r="F16" s="55"/>
      <c r="G16" s="56"/>
    </row>
    <row r="17" spans="1:7" ht="12.75">
      <c r="A17" s="12" t="s">
        <v>2</v>
      </c>
      <c r="B17" s="92"/>
      <c r="C17" s="98"/>
      <c r="D17" s="91"/>
      <c r="E17" s="13" t="s">
        <v>27</v>
      </c>
      <c r="F17" s="12" t="s">
        <v>89</v>
      </c>
      <c r="G17" s="12" t="s">
        <v>44</v>
      </c>
    </row>
    <row r="18" spans="1:7" ht="12.75">
      <c r="A18" s="10" t="s">
        <v>3</v>
      </c>
      <c r="B18" s="5"/>
      <c r="C18" s="99"/>
      <c r="D18" s="93"/>
      <c r="E18" s="13"/>
      <c r="F18" s="80">
        <v>18</v>
      </c>
      <c r="G18" s="87">
        <f aca="true" t="shared" si="0" ref="G18:G24">E18*F18</f>
        <v>0</v>
      </c>
    </row>
    <row r="19" spans="1:7" ht="12.75">
      <c r="A19" s="10" t="s">
        <v>4</v>
      </c>
      <c r="B19" s="5"/>
      <c r="C19" s="99"/>
      <c r="D19" s="93"/>
      <c r="E19" s="13"/>
      <c r="F19" s="80">
        <v>33</v>
      </c>
      <c r="G19" s="68">
        <f t="shared" si="0"/>
        <v>0</v>
      </c>
    </row>
    <row r="20" spans="1:7" ht="12.75">
      <c r="A20" s="14" t="s">
        <v>5</v>
      </c>
      <c r="B20" s="96"/>
      <c r="C20" s="100"/>
      <c r="D20" s="93"/>
      <c r="E20" s="13"/>
      <c r="F20" s="80">
        <v>80</v>
      </c>
      <c r="G20" s="68">
        <f t="shared" si="0"/>
        <v>0</v>
      </c>
    </row>
    <row r="21" spans="1:7" ht="12.75">
      <c r="A21" s="14" t="s">
        <v>6</v>
      </c>
      <c r="B21" s="96"/>
      <c r="C21" s="100"/>
      <c r="D21" s="93"/>
      <c r="E21" s="13"/>
      <c r="F21" s="80">
        <v>30</v>
      </c>
      <c r="G21" s="87">
        <f t="shared" si="0"/>
        <v>0</v>
      </c>
    </row>
    <row r="22" spans="1:7" ht="12.75">
      <c r="A22" s="10" t="s">
        <v>17</v>
      </c>
      <c r="B22" s="5"/>
      <c r="C22" s="99"/>
      <c r="D22" s="95"/>
      <c r="E22" s="74"/>
      <c r="F22" s="81">
        <v>10</v>
      </c>
      <c r="G22" s="69">
        <f t="shared" si="0"/>
        <v>0</v>
      </c>
    </row>
    <row r="23" spans="1:7" ht="12.75">
      <c r="A23" s="15" t="s">
        <v>19</v>
      </c>
      <c r="B23" s="97"/>
      <c r="C23" s="101"/>
      <c r="D23" s="94"/>
      <c r="E23" s="75"/>
      <c r="F23" s="82">
        <v>20</v>
      </c>
      <c r="G23" s="88">
        <f t="shared" si="0"/>
        <v>0</v>
      </c>
    </row>
    <row r="24" spans="1:7" ht="12.75">
      <c r="A24" s="10" t="s">
        <v>20</v>
      </c>
      <c r="B24" s="5"/>
      <c r="C24" s="99"/>
      <c r="D24" s="93"/>
      <c r="E24" s="13"/>
      <c r="F24" s="80">
        <v>10</v>
      </c>
      <c r="G24" s="87">
        <f t="shared" si="0"/>
        <v>0</v>
      </c>
    </row>
    <row r="25" spans="1:7" ht="12.75">
      <c r="A25" s="11" t="s">
        <v>53</v>
      </c>
      <c r="B25" s="36"/>
      <c r="C25" s="102"/>
      <c r="D25" s="95"/>
      <c r="E25" s="74"/>
      <c r="F25" s="81"/>
      <c r="G25" s="69">
        <f>E25*F25</f>
        <v>0</v>
      </c>
    </row>
    <row r="26" spans="1:7" ht="12.75">
      <c r="A26" s="11" t="s">
        <v>53</v>
      </c>
      <c r="B26" s="36"/>
      <c r="C26" s="102"/>
      <c r="D26" s="95"/>
      <c r="E26" s="74"/>
      <c r="F26" s="81"/>
      <c r="G26" s="69">
        <f>E26*F26</f>
        <v>0</v>
      </c>
    </row>
    <row r="27" spans="1:7" ht="12.75">
      <c r="A27" s="11" t="s">
        <v>53</v>
      </c>
      <c r="B27" s="36"/>
      <c r="C27" s="102"/>
      <c r="D27" s="95"/>
      <c r="E27" s="74"/>
      <c r="F27" s="81"/>
      <c r="G27" s="69">
        <f>E27*F27</f>
        <v>0</v>
      </c>
    </row>
    <row r="28" spans="1:7" ht="12.75">
      <c r="A28" s="47" t="s">
        <v>18</v>
      </c>
      <c r="B28" s="46"/>
      <c r="C28" s="46"/>
      <c r="D28" s="46"/>
      <c r="E28" s="46"/>
      <c r="F28" s="83"/>
      <c r="G28" s="83">
        <f>G18+G19+G20+G21+G22+G23+G24+G25+G26+G27</f>
        <v>0</v>
      </c>
    </row>
    <row r="29" spans="1:7" ht="12.75">
      <c r="A29" s="48" t="s">
        <v>23</v>
      </c>
      <c r="B29" s="49"/>
      <c r="C29" s="49"/>
      <c r="D29" s="49"/>
      <c r="E29" s="49"/>
      <c r="F29" s="84"/>
      <c r="G29" s="84">
        <f>SUM(G28*1.25)</f>
        <v>0</v>
      </c>
    </row>
    <row r="30" spans="6:7" ht="12.75">
      <c r="F30" s="78"/>
      <c r="G30" s="78"/>
    </row>
    <row r="31" spans="1:7" ht="12.75">
      <c r="A31" s="151" t="s">
        <v>49</v>
      </c>
      <c r="B31" s="152"/>
      <c r="C31" s="152"/>
      <c r="D31" s="55"/>
      <c r="E31" s="55"/>
      <c r="F31" s="153"/>
      <c r="G31" s="90"/>
    </row>
    <row r="32" spans="1:7" ht="12.75">
      <c r="A32" s="51" t="s">
        <v>52</v>
      </c>
      <c r="B32" s="39"/>
      <c r="C32" s="39"/>
      <c r="D32" s="53"/>
      <c r="E32" s="52" t="s">
        <v>27</v>
      </c>
      <c r="F32" s="85" t="s">
        <v>89</v>
      </c>
      <c r="G32" s="89" t="s">
        <v>44</v>
      </c>
    </row>
    <row r="33" spans="1:7" ht="12.75">
      <c r="A33" s="30" t="s">
        <v>45</v>
      </c>
      <c r="B33" s="28"/>
      <c r="C33" s="28"/>
      <c r="D33" s="29"/>
      <c r="E33" s="52"/>
      <c r="F33" s="70">
        <v>40</v>
      </c>
      <c r="G33" s="70">
        <f aca="true" t="shared" si="1" ref="G33:G45">E33*F33</f>
        <v>0</v>
      </c>
    </row>
    <row r="34" spans="1:7" ht="12.75">
      <c r="A34" s="30" t="s">
        <v>58</v>
      </c>
      <c r="B34" s="28"/>
      <c r="C34" s="28"/>
      <c r="D34" s="29"/>
      <c r="E34" s="52"/>
      <c r="F34" s="70">
        <v>30</v>
      </c>
      <c r="G34" s="70">
        <f t="shared" si="1"/>
        <v>0</v>
      </c>
    </row>
    <row r="35" spans="1:7" ht="12.75">
      <c r="A35" s="30" t="s">
        <v>46</v>
      </c>
      <c r="B35" s="28"/>
      <c r="C35" s="28"/>
      <c r="D35" s="29"/>
      <c r="E35" s="52"/>
      <c r="F35" s="70">
        <v>25</v>
      </c>
      <c r="G35" s="70">
        <f t="shared" si="1"/>
        <v>0</v>
      </c>
    </row>
    <row r="36" spans="1:7" ht="12.75">
      <c r="A36" s="30" t="s">
        <v>47</v>
      </c>
      <c r="B36" s="28"/>
      <c r="C36" s="28"/>
      <c r="D36" s="29"/>
      <c r="E36" s="52"/>
      <c r="F36" s="70">
        <v>15</v>
      </c>
      <c r="G36" s="70">
        <f t="shared" si="1"/>
        <v>0</v>
      </c>
    </row>
    <row r="37" spans="1:7" ht="12.75">
      <c r="A37" s="30" t="s">
        <v>57</v>
      </c>
      <c r="B37" s="28"/>
      <c r="C37" s="28"/>
      <c r="D37" s="29"/>
      <c r="E37" s="52"/>
      <c r="F37" s="70">
        <v>150</v>
      </c>
      <c r="G37" s="70">
        <f t="shared" si="1"/>
        <v>0</v>
      </c>
    </row>
    <row r="38" spans="1:7" ht="12.75">
      <c r="A38" s="30" t="s">
        <v>56</v>
      </c>
      <c r="B38" s="28"/>
      <c r="C38" s="28"/>
      <c r="D38" s="29"/>
      <c r="E38" s="52"/>
      <c r="F38" s="70">
        <v>40</v>
      </c>
      <c r="G38" s="70">
        <f t="shared" si="1"/>
        <v>0</v>
      </c>
    </row>
    <row r="39" spans="1:7" ht="12.75">
      <c r="A39" s="30" t="s">
        <v>50</v>
      </c>
      <c r="B39" s="28"/>
      <c r="C39" s="28"/>
      <c r="D39" s="29"/>
      <c r="E39" s="52"/>
      <c r="F39" s="70">
        <v>40</v>
      </c>
      <c r="G39" s="70">
        <f t="shared" si="1"/>
        <v>0</v>
      </c>
    </row>
    <row r="40" spans="1:7" ht="12.75">
      <c r="A40" s="30" t="s">
        <v>51</v>
      </c>
      <c r="B40" s="28"/>
      <c r="C40" s="28"/>
      <c r="D40" s="29"/>
      <c r="E40" s="52"/>
      <c r="F40" s="70">
        <v>400</v>
      </c>
      <c r="G40" s="70">
        <f t="shared" si="1"/>
        <v>0</v>
      </c>
    </row>
    <row r="41" spans="1:7" ht="12.75">
      <c r="A41" s="30" t="s">
        <v>54</v>
      </c>
      <c r="B41" s="28"/>
      <c r="C41" s="28"/>
      <c r="D41" s="29"/>
      <c r="E41" s="52"/>
      <c r="F41" s="70">
        <v>15</v>
      </c>
      <c r="G41" s="70">
        <f t="shared" si="1"/>
        <v>0</v>
      </c>
    </row>
    <row r="42" spans="1:7" ht="12.75">
      <c r="A42" s="30" t="s">
        <v>55</v>
      </c>
      <c r="B42" s="28"/>
      <c r="C42" s="28"/>
      <c r="D42" s="29"/>
      <c r="E42" s="32"/>
      <c r="F42" s="71">
        <v>50</v>
      </c>
      <c r="G42" s="70">
        <f t="shared" si="1"/>
        <v>0</v>
      </c>
    </row>
    <row r="43" spans="1:7" ht="12.75">
      <c r="A43" s="30" t="s">
        <v>91</v>
      </c>
      <c r="B43" s="28"/>
      <c r="C43" s="28"/>
      <c r="D43" s="29"/>
      <c r="E43" s="32"/>
      <c r="F43" s="71">
        <v>50</v>
      </c>
      <c r="G43" s="71">
        <f t="shared" si="1"/>
        <v>0</v>
      </c>
    </row>
    <row r="44" spans="1:7" ht="12.75">
      <c r="A44" s="30" t="s">
        <v>53</v>
      </c>
      <c r="B44" s="28"/>
      <c r="C44" s="28"/>
      <c r="D44" s="29"/>
      <c r="E44" s="32"/>
      <c r="F44" s="71">
        <v>0</v>
      </c>
      <c r="G44" s="71">
        <f t="shared" si="1"/>
        <v>0</v>
      </c>
    </row>
    <row r="45" spans="1:7" ht="12.75">
      <c r="A45" s="30" t="s">
        <v>53</v>
      </c>
      <c r="B45" s="28"/>
      <c r="C45" s="28"/>
      <c r="D45" s="29"/>
      <c r="E45" s="32"/>
      <c r="F45" s="71"/>
      <c r="G45" s="71">
        <f t="shared" si="1"/>
        <v>0</v>
      </c>
    </row>
    <row r="46" spans="1:7" ht="12.75">
      <c r="A46" s="30" t="s">
        <v>34</v>
      </c>
      <c r="B46" s="28"/>
      <c r="C46" s="28"/>
      <c r="D46" s="29"/>
      <c r="E46" s="32"/>
      <c r="F46" s="70"/>
      <c r="G46" s="71">
        <f>E46*F45</f>
        <v>0</v>
      </c>
    </row>
    <row r="47" spans="1:7" ht="12.75">
      <c r="A47" s="41" t="s">
        <v>23</v>
      </c>
      <c r="B47" s="42"/>
      <c r="C47" s="42"/>
      <c r="D47" s="42"/>
      <c r="E47" s="42"/>
      <c r="F47" s="86"/>
      <c r="G47" s="86">
        <f>SUM(G33:G46)</f>
        <v>0</v>
      </c>
    </row>
    <row r="48" ht="12.75">
      <c r="G48" s="78"/>
    </row>
    <row r="49" spans="1:7" ht="12.75">
      <c r="A49" s="50" t="s">
        <v>162</v>
      </c>
      <c r="B49" s="122">
        <v>0</v>
      </c>
      <c r="G49" s="78"/>
    </row>
    <row r="50" ht="12.75">
      <c r="G50" s="78"/>
    </row>
    <row r="51" spans="1:7" ht="12.75">
      <c r="A51" s="123" t="s">
        <v>59</v>
      </c>
      <c r="B51" s="124"/>
      <c r="C51" s="124"/>
      <c r="D51" s="124"/>
      <c r="E51" s="124"/>
      <c r="F51" s="125"/>
      <c r="G51" s="127">
        <f>SUM(G29+G47)-(SUM(G29+G47)*B49)</f>
        <v>0</v>
      </c>
    </row>
  </sheetData>
  <sheetProtection/>
  <printOptions/>
  <pageMargins left="0.75" right="0.75" top="1" bottom="1" header="0.5" footer="0.5"/>
  <pageSetup fitToHeight="1" fitToWidth="1" orientation="portrait" paperSize="9" scale="9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selection activeCell="A49" sqref="A49"/>
    </sheetView>
  </sheetViews>
  <sheetFormatPr defaultColWidth="9.00390625" defaultRowHeight="12.75"/>
  <cols>
    <col min="1" max="1" width="11.00390625" style="0" customWidth="1"/>
    <col min="2" max="2" width="7.375" style="0" customWidth="1"/>
    <col min="3" max="16384" width="11.00390625" style="0" customWidth="1"/>
  </cols>
  <sheetData>
    <row r="1" spans="1:7" ht="19.5" customHeight="1">
      <c r="A1" s="104" t="s">
        <v>79</v>
      </c>
      <c r="B1" s="103"/>
      <c r="C1" s="103"/>
      <c r="D1" s="103"/>
      <c r="E1" s="103"/>
      <c r="F1" s="103"/>
      <c r="G1" s="103"/>
    </row>
    <row r="3" spans="1:3" ht="12.75">
      <c r="A3" t="s">
        <v>35</v>
      </c>
      <c r="C3">
        <f>Regningsgrundlag!B3</f>
        <v>0</v>
      </c>
    </row>
    <row r="4" spans="1:3" ht="12.75">
      <c r="A4" t="s">
        <v>136</v>
      </c>
      <c r="C4">
        <f>Regningsgrundlag!B4</f>
        <v>0</v>
      </c>
    </row>
    <row r="5" spans="1:3" ht="12.75">
      <c r="A5" t="s">
        <v>36</v>
      </c>
      <c r="C5">
        <f>Regningsgrundlag!B5</f>
        <v>0</v>
      </c>
    </row>
    <row r="6" spans="1:3" ht="12.75">
      <c r="A6" t="s">
        <v>132</v>
      </c>
      <c r="C6">
        <f>Regningsgrundlag!B6</f>
        <v>0</v>
      </c>
    </row>
    <row r="7" spans="1:3" ht="12.75">
      <c r="A7" t="s">
        <v>37</v>
      </c>
      <c r="C7">
        <f>Regningsgrundlag!B7</f>
        <v>0</v>
      </c>
    </row>
    <row r="8" spans="1:3" ht="12.75">
      <c r="A8" t="s">
        <v>38</v>
      </c>
      <c r="C8" s="154">
        <f>Regningsgrundlag!B8</f>
        <v>0</v>
      </c>
    </row>
    <row r="9" spans="1:3" ht="12.75">
      <c r="A9" t="s">
        <v>40</v>
      </c>
      <c r="C9">
        <f>Regningsgrundlag!B9</f>
        <v>0</v>
      </c>
    </row>
    <row r="10" spans="1:3" ht="12.75">
      <c r="A10" t="s">
        <v>42</v>
      </c>
      <c r="C10">
        <f>Regningsgrundlag!B10</f>
        <v>0</v>
      </c>
    </row>
    <row r="11" spans="1:3" ht="12.75">
      <c r="A11" t="s">
        <v>43</v>
      </c>
      <c r="C11">
        <f>Regningsgrundlag!B11</f>
        <v>0</v>
      </c>
    </row>
    <row r="12" spans="1:3" ht="12.75">
      <c r="A12" t="s">
        <v>135</v>
      </c>
      <c r="C12" s="154">
        <f>Regningsgrundlag!B12</f>
        <v>0</v>
      </c>
    </row>
    <row r="13" spans="1:3" ht="12.75">
      <c r="A13" t="s">
        <v>41</v>
      </c>
      <c r="C13">
        <f>Regningsgrundlag!B13</f>
        <v>0</v>
      </c>
    </row>
    <row r="16" spans="1:7" ht="12.75">
      <c r="A16" s="146" t="s">
        <v>30</v>
      </c>
      <c r="B16" s="147"/>
      <c r="C16" s="147"/>
      <c r="D16" s="148" t="s">
        <v>26</v>
      </c>
      <c r="E16" s="149" t="s">
        <v>15</v>
      </c>
      <c r="F16" s="149" t="s">
        <v>0</v>
      </c>
      <c r="G16" s="150" t="s">
        <v>44</v>
      </c>
    </row>
    <row r="17" spans="1:7" ht="12.75">
      <c r="A17" s="61" t="s">
        <v>73</v>
      </c>
      <c r="B17" s="2"/>
      <c r="C17" s="9"/>
      <c r="D17" s="9"/>
      <c r="E17" s="8"/>
      <c r="F17" s="20"/>
      <c r="G17" s="20"/>
    </row>
    <row r="18" spans="1:7" ht="12.75">
      <c r="A18" s="40" t="s">
        <v>67</v>
      </c>
      <c r="B18" s="2"/>
      <c r="C18" s="9"/>
      <c r="D18" s="2"/>
      <c r="E18" s="8"/>
      <c r="F18" s="20">
        <v>500</v>
      </c>
      <c r="G18" s="67">
        <f aca="true" t="shared" si="0" ref="G18:G23">E18*F18</f>
        <v>0</v>
      </c>
    </row>
    <row r="19" spans="1:7" ht="12.75">
      <c r="A19" s="5" t="s">
        <v>68</v>
      </c>
      <c r="B19" s="3"/>
      <c r="C19" s="9"/>
      <c r="D19" s="9"/>
      <c r="E19" s="18"/>
      <c r="F19" s="20">
        <v>200</v>
      </c>
      <c r="G19" s="68">
        <f t="shared" si="0"/>
        <v>0</v>
      </c>
    </row>
    <row r="20" spans="1:7" ht="12.75">
      <c r="A20" s="5" t="s">
        <v>70</v>
      </c>
      <c r="B20" s="3"/>
      <c r="C20" s="9"/>
      <c r="D20" s="9"/>
      <c r="E20" s="18"/>
      <c r="F20" s="20">
        <v>1000</v>
      </c>
      <c r="G20" s="68">
        <f t="shared" si="0"/>
        <v>0</v>
      </c>
    </row>
    <row r="21" spans="1:7" ht="12.75">
      <c r="A21" s="5" t="s">
        <v>69</v>
      </c>
      <c r="B21" s="3"/>
      <c r="C21" s="9"/>
      <c r="D21" s="9"/>
      <c r="E21" s="18"/>
      <c r="F21" s="20">
        <v>200</v>
      </c>
      <c r="G21" s="69">
        <f t="shared" si="0"/>
        <v>0</v>
      </c>
    </row>
    <row r="22" spans="1:7" ht="12.75">
      <c r="A22" s="58" t="s">
        <v>74</v>
      </c>
      <c r="B22" s="28"/>
      <c r="C22" s="29"/>
      <c r="D22" s="50"/>
      <c r="E22" s="50"/>
      <c r="F22" s="62">
        <v>2000</v>
      </c>
      <c r="G22" s="70">
        <f t="shared" si="0"/>
        <v>0</v>
      </c>
    </row>
    <row r="23" spans="1:7" ht="12.75">
      <c r="A23" s="59" t="s">
        <v>75</v>
      </c>
      <c r="B23" s="60"/>
      <c r="C23" s="57"/>
      <c r="D23" s="29"/>
      <c r="E23" s="28"/>
      <c r="F23" s="62">
        <v>3000</v>
      </c>
      <c r="G23" s="71">
        <f t="shared" si="0"/>
        <v>0</v>
      </c>
    </row>
    <row r="24" spans="1:7" ht="12.75">
      <c r="A24" s="58"/>
      <c r="B24" s="28"/>
      <c r="C24" s="57"/>
      <c r="D24" s="29"/>
      <c r="E24" s="28"/>
      <c r="F24" s="70"/>
      <c r="G24" s="71"/>
    </row>
    <row r="25" spans="1:7" ht="12.75">
      <c r="A25" s="59"/>
      <c r="C25" s="57"/>
      <c r="D25" s="29"/>
      <c r="E25" s="28"/>
      <c r="F25" s="70"/>
      <c r="G25" s="71"/>
    </row>
    <row r="26" spans="1:7" ht="12.75">
      <c r="A26" s="5" t="s">
        <v>170</v>
      </c>
      <c r="B26" s="3"/>
      <c r="C26" s="9"/>
      <c r="D26" s="9"/>
      <c r="E26" s="18"/>
      <c r="F26" s="20">
        <v>1000</v>
      </c>
      <c r="G26" s="68">
        <f>E26*F26</f>
        <v>0</v>
      </c>
    </row>
    <row r="27" spans="1:7" ht="12.75">
      <c r="A27" s="17" t="s">
        <v>13</v>
      </c>
      <c r="B27" s="6"/>
      <c r="C27" s="7"/>
      <c r="D27" s="7"/>
      <c r="E27" s="16" t="s">
        <v>15</v>
      </c>
      <c r="F27" s="21" t="s">
        <v>1</v>
      </c>
      <c r="G27" s="72" t="s">
        <v>44</v>
      </c>
    </row>
    <row r="28" spans="1:7" ht="12.75">
      <c r="A28" s="5" t="s">
        <v>72</v>
      </c>
      <c r="B28" s="3"/>
      <c r="C28" s="9"/>
      <c r="D28" s="9"/>
      <c r="E28" s="18"/>
      <c r="F28" s="20">
        <v>1500</v>
      </c>
      <c r="G28" s="68">
        <f aca="true" t="shared" si="1" ref="G28:G33">E28*F28</f>
        <v>0</v>
      </c>
    </row>
    <row r="29" spans="1:7" ht="12.75">
      <c r="A29" s="5" t="s">
        <v>24</v>
      </c>
      <c r="B29" s="3"/>
      <c r="C29" s="9"/>
      <c r="D29" s="9"/>
      <c r="E29" s="18"/>
      <c r="F29" s="20">
        <v>200</v>
      </c>
      <c r="G29" s="68">
        <f t="shared" si="1"/>
        <v>0</v>
      </c>
    </row>
    <row r="30" spans="1:7" ht="12.75">
      <c r="A30" s="5" t="s">
        <v>22</v>
      </c>
      <c r="B30" s="3"/>
      <c r="C30" s="9"/>
      <c r="D30" s="9"/>
      <c r="E30" s="18"/>
      <c r="F30" s="20">
        <v>500</v>
      </c>
      <c r="G30" s="68">
        <f t="shared" si="1"/>
        <v>0</v>
      </c>
    </row>
    <row r="31" spans="1:7" ht="12.75">
      <c r="A31" s="5" t="s">
        <v>32</v>
      </c>
      <c r="B31" s="3"/>
      <c r="C31" s="9"/>
      <c r="D31" s="9"/>
      <c r="E31" s="18"/>
      <c r="F31" s="20">
        <v>2500</v>
      </c>
      <c r="G31" s="68">
        <f t="shared" si="1"/>
        <v>0</v>
      </c>
    </row>
    <row r="32" spans="1:7" ht="12.75">
      <c r="A32" s="5" t="s">
        <v>131</v>
      </c>
      <c r="B32" s="3"/>
      <c r="C32" s="9"/>
      <c r="D32" s="9"/>
      <c r="E32" s="18"/>
      <c r="F32" s="20">
        <v>2000</v>
      </c>
      <c r="G32" s="68">
        <f t="shared" si="1"/>
        <v>0</v>
      </c>
    </row>
    <row r="33" spans="1:7" ht="12.75">
      <c r="A33" s="5" t="s">
        <v>130</v>
      </c>
      <c r="B33" s="3"/>
      <c r="C33" s="9"/>
      <c r="D33" s="9"/>
      <c r="E33" s="18"/>
      <c r="F33" s="20">
        <v>1500</v>
      </c>
      <c r="G33" s="68">
        <f t="shared" si="1"/>
        <v>0</v>
      </c>
    </row>
    <row r="34" spans="1:7" ht="12.75">
      <c r="A34" s="5" t="s">
        <v>71</v>
      </c>
      <c r="B34" s="3"/>
      <c r="C34" s="9"/>
      <c r="D34" s="9"/>
      <c r="E34" s="18"/>
      <c r="F34" s="20">
        <v>800</v>
      </c>
      <c r="G34" s="68">
        <f>E34*F34</f>
        <v>0</v>
      </c>
    </row>
    <row r="35" spans="1:7" ht="12.75">
      <c r="A35" s="36" t="s">
        <v>76</v>
      </c>
      <c r="B35" s="3"/>
      <c r="C35" s="9"/>
      <c r="D35" s="9"/>
      <c r="E35" s="18"/>
      <c r="F35" s="20"/>
      <c r="G35" s="68">
        <f aca="true" t="shared" si="2" ref="G35:G41">D35*E35*F35</f>
        <v>0</v>
      </c>
    </row>
    <row r="36" spans="1:7" ht="12.75">
      <c r="A36" s="30" t="s">
        <v>28</v>
      </c>
      <c r="B36" s="28"/>
      <c r="C36" s="29"/>
      <c r="D36" s="32"/>
      <c r="E36" s="32"/>
      <c r="F36" s="35">
        <v>350</v>
      </c>
      <c r="G36" s="35">
        <f t="shared" si="2"/>
        <v>0</v>
      </c>
    </row>
    <row r="37" spans="1:7" ht="12.75">
      <c r="A37" s="30" t="s">
        <v>173</v>
      </c>
      <c r="B37" s="28"/>
      <c r="C37" s="29"/>
      <c r="D37" s="33"/>
      <c r="E37" s="32"/>
      <c r="F37" s="35">
        <v>350</v>
      </c>
      <c r="G37" s="35">
        <f t="shared" si="2"/>
        <v>0</v>
      </c>
    </row>
    <row r="38" spans="1:7" ht="12.75">
      <c r="A38" s="30" t="s">
        <v>29</v>
      </c>
      <c r="B38" s="28"/>
      <c r="C38" s="31"/>
      <c r="D38" s="37"/>
      <c r="E38" s="37"/>
      <c r="F38" s="35">
        <v>350</v>
      </c>
      <c r="G38" s="35">
        <f t="shared" si="2"/>
        <v>0</v>
      </c>
    </row>
    <row r="39" spans="1:7" ht="12.75">
      <c r="A39" s="30" t="s">
        <v>129</v>
      </c>
      <c r="B39" s="28"/>
      <c r="C39" s="31"/>
      <c r="D39" s="34"/>
      <c r="E39" s="34"/>
      <c r="F39" s="35">
        <v>2500</v>
      </c>
      <c r="G39" s="35">
        <f t="shared" si="2"/>
        <v>0</v>
      </c>
    </row>
    <row r="40" spans="1:7" ht="12.75">
      <c r="A40" s="30" t="s">
        <v>34</v>
      </c>
      <c r="B40" s="28"/>
      <c r="C40" s="29"/>
      <c r="D40" s="33"/>
      <c r="E40" s="32"/>
      <c r="F40" s="35"/>
      <c r="G40" s="35">
        <f t="shared" si="2"/>
        <v>0</v>
      </c>
    </row>
    <row r="41" spans="1:7" ht="12.75">
      <c r="A41" s="30" t="s">
        <v>34</v>
      </c>
      <c r="B41" s="28"/>
      <c r="C41" s="29"/>
      <c r="D41" s="33"/>
      <c r="E41" s="32"/>
      <c r="F41" s="35"/>
      <c r="G41" s="35">
        <f t="shared" si="2"/>
        <v>0</v>
      </c>
    </row>
    <row r="42" spans="1:7" ht="12.75">
      <c r="A42" s="45" t="s">
        <v>23</v>
      </c>
      <c r="B42" s="46"/>
      <c r="C42" s="46"/>
      <c r="D42" s="46"/>
      <c r="E42" s="46"/>
      <c r="F42" s="120"/>
      <c r="G42" s="119">
        <f>SUM(G18:G41)</f>
        <v>0</v>
      </c>
    </row>
  </sheetData>
  <sheetProtection/>
  <printOptions/>
  <pageMargins left="0.75" right="0.75" top="1" bottom="1" header="0.5" footer="0.5"/>
  <pageSetup fitToHeight="1" fitToWidth="1" orientation="portrait" paperSize="9" scale="9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zoomScalePageLayoutView="0" workbookViewId="0" topLeftCell="A1">
      <selection activeCell="B54" sqref="B54"/>
    </sheetView>
  </sheetViews>
  <sheetFormatPr defaultColWidth="9.00390625" defaultRowHeight="12.75"/>
  <cols>
    <col min="1" max="1" width="11.00390625" style="0" customWidth="1"/>
    <col min="2" max="2" width="7.125" style="0" customWidth="1"/>
    <col min="3" max="3" width="11.00390625" style="0" customWidth="1"/>
    <col min="4" max="4" width="11.625" style="0" customWidth="1"/>
    <col min="5" max="5" width="10.375" style="0" customWidth="1"/>
    <col min="6" max="6" width="12.375" style="0" customWidth="1"/>
    <col min="7" max="16384" width="11.00390625" style="0" customWidth="1"/>
  </cols>
  <sheetData>
    <row r="1" spans="1:7" ht="21" customHeight="1">
      <c r="A1" s="104" t="s">
        <v>82</v>
      </c>
      <c r="B1" s="103"/>
      <c r="C1" s="103"/>
      <c r="D1" s="103"/>
      <c r="E1" s="103"/>
      <c r="F1" s="103"/>
      <c r="G1" s="103"/>
    </row>
    <row r="3" spans="1:3" ht="12.75">
      <c r="A3" t="s">
        <v>35</v>
      </c>
      <c r="C3">
        <f>Regningsgrundlag!B3</f>
        <v>0</v>
      </c>
    </row>
    <row r="4" spans="1:3" ht="12.75">
      <c r="A4" t="s">
        <v>136</v>
      </c>
      <c r="C4">
        <f>Regningsgrundlag!B4</f>
        <v>0</v>
      </c>
    </row>
    <row r="5" spans="1:3" ht="12.75">
      <c r="A5" t="s">
        <v>36</v>
      </c>
      <c r="C5">
        <f>Regningsgrundlag!B5</f>
        <v>0</v>
      </c>
    </row>
    <row r="6" spans="1:3" ht="12.75">
      <c r="A6" t="s">
        <v>132</v>
      </c>
      <c r="C6">
        <f>Regningsgrundlag!B6</f>
        <v>0</v>
      </c>
    </row>
    <row r="7" spans="1:3" ht="12.75">
      <c r="A7" t="s">
        <v>37</v>
      </c>
      <c r="C7">
        <f>Regningsgrundlag!B7</f>
        <v>0</v>
      </c>
    </row>
    <row r="8" spans="1:3" ht="12.75">
      <c r="A8" t="s">
        <v>38</v>
      </c>
      <c r="C8" s="154">
        <f>Regningsgrundlag!B8</f>
        <v>0</v>
      </c>
    </row>
    <row r="9" spans="1:3" ht="12.75">
      <c r="A9" t="s">
        <v>40</v>
      </c>
      <c r="C9">
        <f>Regningsgrundlag!B9</f>
        <v>0</v>
      </c>
    </row>
    <row r="10" spans="1:3" ht="12.75">
      <c r="A10" t="s">
        <v>42</v>
      </c>
      <c r="C10">
        <f>Regningsgrundlag!B10</f>
        <v>0</v>
      </c>
    </row>
    <row r="11" spans="1:3" ht="12.75">
      <c r="A11" t="s">
        <v>43</v>
      </c>
      <c r="C11">
        <f>Regningsgrundlag!B11</f>
        <v>0</v>
      </c>
    </row>
    <row r="12" spans="1:3" ht="12.75">
      <c r="A12" t="s">
        <v>135</v>
      </c>
      <c r="C12" s="154">
        <f>Regningsgrundlag!B12</f>
        <v>0</v>
      </c>
    </row>
    <row r="13" spans="1:3" ht="12.75">
      <c r="A13" t="s">
        <v>41</v>
      </c>
      <c r="C13">
        <f>Regningsgrundlag!B13</f>
        <v>0</v>
      </c>
    </row>
    <row r="16" spans="1:7" ht="12.75">
      <c r="A16" s="146" t="s">
        <v>60</v>
      </c>
      <c r="B16" s="147"/>
      <c r="C16" s="147"/>
      <c r="D16" s="148"/>
      <c r="E16" s="149" t="s">
        <v>27</v>
      </c>
      <c r="F16" s="149" t="s">
        <v>124</v>
      </c>
      <c r="G16" s="150" t="s">
        <v>44</v>
      </c>
    </row>
    <row r="17" spans="1:7" ht="12.75">
      <c r="A17" s="40" t="s">
        <v>61</v>
      </c>
      <c r="B17" s="2"/>
      <c r="C17" s="3"/>
      <c r="D17" s="2"/>
      <c r="E17" s="8"/>
      <c r="F17" s="20">
        <v>100</v>
      </c>
      <c r="G17" s="23">
        <f aca="true" t="shared" si="0" ref="G17:G35">E17*F17</f>
        <v>0</v>
      </c>
    </row>
    <row r="18" spans="1:7" ht="12.75">
      <c r="A18" s="5" t="s">
        <v>62</v>
      </c>
      <c r="B18" s="3"/>
      <c r="C18" s="3"/>
      <c r="D18" s="9"/>
      <c r="E18" s="18"/>
      <c r="F18" s="20">
        <v>50</v>
      </c>
      <c r="G18" s="24">
        <f t="shared" si="0"/>
        <v>0</v>
      </c>
    </row>
    <row r="19" spans="1:7" ht="12.75">
      <c r="A19" s="5" t="s">
        <v>63</v>
      </c>
      <c r="B19" s="3"/>
      <c r="C19" s="3"/>
      <c r="D19" s="9"/>
      <c r="E19" s="18"/>
      <c r="F19" s="20">
        <v>50</v>
      </c>
      <c r="G19" s="24">
        <f t="shared" si="0"/>
        <v>0</v>
      </c>
    </row>
    <row r="20" spans="1:7" ht="12.75">
      <c r="A20" s="5" t="s">
        <v>64</v>
      </c>
      <c r="B20" s="3"/>
      <c r="C20" s="3"/>
      <c r="D20" s="9"/>
      <c r="E20" s="18"/>
      <c r="F20" s="20">
        <v>50</v>
      </c>
      <c r="G20" s="25">
        <f t="shared" si="0"/>
        <v>0</v>
      </c>
    </row>
    <row r="21" spans="1:7" ht="12.75">
      <c r="A21" s="5" t="s">
        <v>65</v>
      </c>
      <c r="B21" s="3"/>
      <c r="C21" s="3"/>
      <c r="D21" s="9"/>
      <c r="E21" s="18"/>
      <c r="F21" s="20">
        <v>50</v>
      </c>
      <c r="G21" s="24">
        <f t="shared" si="0"/>
        <v>0</v>
      </c>
    </row>
    <row r="22" spans="1:7" ht="12.75">
      <c r="A22" s="5" t="s">
        <v>119</v>
      </c>
      <c r="B22" s="3" t="s">
        <v>125</v>
      </c>
      <c r="C22" s="3"/>
      <c r="D22" s="9"/>
      <c r="E22" s="18"/>
      <c r="F22" s="20">
        <v>800</v>
      </c>
      <c r="G22" s="24">
        <f t="shared" si="0"/>
        <v>0</v>
      </c>
    </row>
    <row r="23" spans="1:7" ht="12.75">
      <c r="A23" s="5" t="s">
        <v>120</v>
      </c>
      <c r="B23" s="3" t="s">
        <v>125</v>
      </c>
      <c r="C23" s="3"/>
      <c r="D23" s="9"/>
      <c r="E23" s="18"/>
      <c r="F23" s="20">
        <v>800</v>
      </c>
      <c r="G23" s="24">
        <f t="shared" si="0"/>
        <v>0</v>
      </c>
    </row>
    <row r="24" spans="1:7" ht="12.75">
      <c r="A24" s="5" t="s">
        <v>121</v>
      </c>
      <c r="B24" s="3" t="s">
        <v>125</v>
      </c>
      <c r="C24" s="3"/>
      <c r="D24" s="9"/>
      <c r="E24" s="18"/>
      <c r="F24" s="20">
        <v>800</v>
      </c>
      <c r="G24" s="24">
        <f t="shared" si="0"/>
        <v>0</v>
      </c>
    </row>
    <row r="25" spans="1:7" ht="12.75">
      <c r="A25" s="5" t="s">
        <v>122</v>
      </c>
      <c r="B25" s="3" t="s">
        <v>125</v>
      </c>
      <c r="C25" s="3"/>
      <c r="D25" s="9"/>
      <c r="E25" s="18"/>
      <c r="F25" s="20">
        <v>800</v>
      </c>
      <c r="G25" s="24">
        <f t="shared" si="0"/>
        <v>0</v>
      </c>
    </row>
    <row r="26" spans="1:7" ht="12.75">
      <c r="A26" s="5" t="s">
        <v>123</v>
      </c>
      <c r="B26" s="3" t="s">
        <v>125</v>
      </c>
      <c r="C26" s="3"/>
      <c r="D26" s="9"/>
      <c r="E26" s="18"/>
      <c r="F26" s="20">
        <v>800</v>
      </c>
      <c r="G26" s="24">
        <f t="shared" si="0"/>
        <v>0</v>
      </c>
    </row>
    <row r="27" spans="1:7" ht="12.75">
      <c r="A27" s="5" t="s">
        <v>61</v>
      </c>
      <c r="B27" s="3" t="s">
        <v>126</v>
      </c>
      <c r="C27" s="3"/>
      <c r="D27" s="9"/>
      <c r="E27" s="18"/>
      <c r="F27" s="20">
        <v>300</v>
      </c>
      <c r="G27" s="24">
        <f t="shared" si="0"/>
        <v>0</v>
      </c>
    </row>
    <row r="28" spans="1:7" ht="12.75">
      <c r="A28" s="5" t="s">
        <v>62</v>
      </c>
      <c r="B28" s="3" t="s">
        <v>126</v>
      </c>
      <c r="C28" s="3"/>
      <c r="D28" s="9"/>
      <c r="E28" s="18"/>
      <c r="F28" s="20">
        <v>300</v>
      </c>
      <c r="G28" s="24">
        <f t="shared" si="0"/>
        <v>0</v>
      </c>
    </row>
    <row r="29" spans="1:7" ht="12.75">
      <c r="A29" s="5" t="s">
        <v>63</v>
      </c>
      <c r="B29" s="3" t="s">
        <v>126</v>
      </c>
      <c r="C29" s="3"/>
      <c r="D29" s="9"/>
      <c r="E29" s="18"/>
      <c r="F29" s="20">
        <v>300</v>
      </c>
      <c r="G29" s="24">
        <f t="shared" si="0"/>
        <v>0</v>
      </c>
    </row>
    <row r="30" spans="1:7" ht="12.75">
      <c r="A30" s="5" t="s">
        <v>65</v>
      </c>
      <c r="B30" s="3" t="s">
        <v>126</v>
      </c>
      <c r="C30" s="3"/>
      <c r="D30" s="9"/>
      <c r="E30" s="18"/>
      <c r="F30" s="20">
        <v>300</v>
      </c>
      <c r="G30" s="24">
        <f t="shared" si="0"/>
        <v>0</v>
      </c>
    </row>
    <row r="31" spans="1:7" ht="12.75">
      <c r="A31" s="5" t="s">
        <v>64</v>
      </c>
      <c r="B31" s="3" t="s">
        <v>126</v>
      </c>
      <c r="C31" s="3"/>
      <c r="D31" s="9"/>
      <c r="E31" s="18"/>
      <c r="F31" s="20">
        <v>300</v>
      </c>
      <c r="G31" s="24">
        <f t="shared" si="0"/>
        <v>0</v>
      </c>
    </row>
    <row r="32" spans="1:7" ht="12.75">
      <c r="A32" s="5"/>
      <c r="B32" s="3"/>
      <c r="C32" s="3"/>
      <c r="D32" s="9"/>
      <c r="E32" s="18"/>
      <c r="F32" s="20"/>
      <c r="G32" s="24">
        <f t="shared" si="0"/>
        <v>0</v>
      </c>
    </row>
    <row r="33" spans="1:7" ht="12.75">
      <c r="A33" s="5"/>
      <c r="B33" s="3"/>
      <c r="C33" s="3"/>
      <c r="D33" s="9"/>
      <c r="E33" s="18"/>
      <c r="F33" s="20"/>
      <c r="G33" s="24">
        <f t="shared" si="0"/>
        <v>0</v>
      </c>
    </row>
    <row r="34" spans="1:7" ht="12.75">
      <c r="A34" s="5"/>
      <c r="B34" s="3"/>
      <c r="C34" s="3"/>
      <c r="D34" s="9"/>
      <c r="E34" s="18"/>
      <c r="F34" s="20"/>
      <c r="G34" s="24">
        <f t="shared" si="0"/>
        <v>0</v>
      </c>
    </row>
    <row r="35" spans="1:7" ht="12.75">
      <c r="A35" s="5"/>
      <c r="B35" s="3"/>
      <c r="C35" s="3"/>
      <c r="D35" s="9"/>
      <c r="E35" s="18"/>
      <c r="F35" s="20"/>
      <c r="G35" s="24">
        <f t="shared" si="0"/>
        <v>0</v>
      </c>
    </row>
    <row r="36" spans="1:7" ht="12.75">
      <c r="A36" s="17" t="s">
        <v>13</v>
      </c>
      <c r="B36" s="6"/>
      <c r="C36" s="121"/>
      <c r="D36" s="7"/>
      <c r="E36" s="16" t="s">
        <v>15</v>
      </c>
      <c r="F36" s="21" t="s">
        <v>1</v>
      </c>
      <c r="G36" s="26" t="s">
        <v>44</v>
      </c>
    </row>
    <row r="37" spans="1:7" ht="12.75">
      <c r="A37" s="5" t="s">
        <v>66</v>
      </c>
      <c r="B37" s="2"/>
      <c r="C37" s="3"/>
      <c r="D37" s="9"/>
      <c r="E37" s="19"/>
      <c r="F37" s="22">
        <v>200</v>
      </c>
      <c r="G37" s="27">
        <f aca="true" t="shared" si="1" ref="G37:G43">E37*F37</f>
        <v>0</v>
      </c>
    </row>
    <row r="38" spans="1:7" ht="12.75">
      <c r="A38" s="5" t="s">
        <v>32</v>
      </c>
      <c r="B38" s="2"/>
      <c r="C38" s="3"/>
      <c r="D38" s="9"/>
      <c r="E38" s="19"/>
      <c r="F38" s="22">
        <v>500</v>
      </c>
      <c r="G38" s="27">
        <f t="shared" si="1"/>
        <v>0</v>
      </c>
    </row>
    <row r="39" spans="1:7" ht="12.75">
      <c r="A39" s="30" t="s">
        <v>127</v>
      </c>
      <c r="B39" s="28"/>
      <c r="C39" s="28"/>
      <c r="D39" s="29"/>
      <c r="E39" s="29"/>
      <c r="F39" s="71">
        <v>75</v>
      </c>
      <c r="G39" s="71">
        <f t="shared" si="1"/>
        <v>0</v>
      </c>
    </row>
    <row r="40" spans="1:7" ht="12.75">
      <c r="A40" s="63"/>
      <c r="C40" s="60"/>
      <c r="D40" s="57"/>
      <c r="E40" s="57"/>
      <c r="F40" s="73"/>
      <c r="G40" s="71">
        <f t="shared" si="1"/>
        <v>0</v>
      </c>
    </row>
    <row r="41" spans="1:7" ht="12.75">
      <c r="A41" s="5" t="s">
        <v>34</v>
      </c>
      <c r="B41" s="3"/>
      <c r="C41" s="3"/>
      <c r="D41" s="9"/>
      <c r="E41" s="18"/>
      <c r="F41" s="20"/>
      <c r="G41" s="24">
        <f t="shared" si="1"/>
        <v>0</v>
      </c>
    </row>
    <row r="42" spans="1:7" ht="12.75">
      <c r="A42" s="36" t="s">
        <v>34</v>
      </c>
      <c r="B42" s="3"/>
      <c r="C42" s="3"/>
      <c r="D42" s="9"/>
      <c r="E42" s="18"/>
      <c r="F42" s="20"/>
      <c r="G42" s="24">
        <f t="shared" si="1"/>
        <v>0</v>
      </c>
    </row>
    <row r="43" spans="1:7" ht="12.75">
      <c r="A43" s="36" t="s">
        <v>21</v>
      </c>
      <c r="B43" s="3"/>
      <c r="C43" s="3"/>
      <c r="D43" s="9"/>
      <c r="E43" s="18"/>
      <c r="F43" s="20"/>
      <c r="G43" s="24">
        <f t="shared" si="1"/>
        <v>0</v>
      </c>
    </row>
    <row r="44" spans="1:7" ht="12.75">
      <c r="A44" s="45" t="s">
        <v>23</v>
      </c>
      <c r="B44" s="46"/>
      <c r="C44" s="46"/>
      <c r="D44" s="46"/>
      <c r="E44" s="46"/>
      <c r="F44" s="120"/>
      <c r="G44" s="119">
        <f>SUM(G17:G43)-(SUM(G17:G43)*B46)</f>
        <v>0</v>
      </c>
    </row>
    <row r="46" spans="1:2" ht="12.75">
      <c r="A46" s="50" t="s">
        <v>162</v>
      </c>
      <c r="B46" s="122">
        <v>0</v>
      </c>
    </row>
    <row r="48" ht="12.75">
      <c r="A48" t="s">
        <v>128</v>
      </c>
    </row>
  </sheetData>
  <sheetProtection/>
  <printOptions/>
  <pageMargins left="0.75" right="0.75" top="1" bottom="1" header="0.5" footer="0.5"/>
  <pageSetup fitToHeight="1" fitToWidth="1" orientation="portrait" paperSize="9" scale="9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4">
      <selection activeCell="C42" sqref="C42"/>
    </sheetView>
  </sheetViews>
  <sheetFormatPr defaultColWidth="9.00390625" defaultRowHeight="12.75"/>
  <cols>
    <col min="1" max="1" width="11.00390625" style="0" customWidth="1"/>
    <col min="2" max="2" width="7.125" style="0" customWidth="1"/>
    <col min="3" max="3" width="12.00390625" style="0" customWidth="1"/>
    <col min="4" max="4" width="11.00390625" style="0" customWidth="1"/>
    <col min="5" max="5" width="8.625" style="0" customWidth="1"/>
    <col min="6" max="6" width="15.00390625" style="0" customWidth="1"/>
    <col min="7" max="16384" width="11.00390625" style="0" customWidth="1"/>
  </cols>
  <sheetData>
    <row r="1" spans="1:7" ht="21" customHeight="1">
      <c r="A1" s="104" t="s">
        <v>153</v>
      </c>
      <c r="B1" s="104"/>
      <c r="C1" s="104"/>
      <c r="D1" s="104"/>
      <c r="E1" s="157"/>
      <c r="F1" s="103"/>
      <c r="G1" s="103"/>
    </row>
    <row r="3" spans="1:3" ht="12.75">
      <c r="A3" t="s">
        <v>35</v>
      </c>
      <c r="C3">
        <f>Regningsgrundlag!B3</f>
        <v>0</v>
      </c>
    </row>
    <row r="4" spans="1:3" ht="12.75">
      <c r="A4" t="s">
        <v>136</v>
      </c>
      <c r="C4">
        <f>Regningsgrundlag!B4</f>
        <v>0</v>
      </c>
    </row>
    <row r="5" spans="1:3" ht="12.75">
      <c r="A5" t="s">
        <v>36</v>
      </c>
      <c r="C5">
        <f>Regningsgrundlag!B5</f>
        <v>0</v>
      </c>
    </row>
    <row r="6" spans="1:3" ht="12.75">
      <c r="A6" t="s">
        <v>132</v>
      </c>
      <c r="C6">
        <f>Regningsgrundlag!B6</f>
        <v>0</v>
      </c>
    </row>
    <row r="7" spans="1:3" ht="12.75">
      <c r="A7" t="s">
        <v>37</v>
      </c>
      <c r="C7">
        <f>Regningsgrundlag!B7</f>
        <v>0</v>
      </c>
    </row>
    <row r="8" spans="1:3" ht="12.75">
      <c r="A8" t="s">
        <v>38</v>
      </c>
      <c r="C8" s="154">
        <f>Regningsgrundlag!B8</f>
        <v>0</v>
      </c>
    </row>
    <row r="9" spans="1:3" ht="12.75">
      <c r="A9" t="s">
        <v>40</v>
      </c>
      <c r="C9">
        <f>Regningsgrundlag!B9</f>
        <v>0</v>
      </c>
    </row>
    <row r="10" spans="1:3" ht="12.75">
      <c r="A10" t="s">
        <v>42</v>
      </c>
      <c r="C10">
        <f>Regningsgrundlag!B10</f>
        <v>0</v>
      </c>
    </row>
    <row r="11" spans="1:3" ht="12.75">
      <c r="A11" t="s">
        <v>43</v>
      </c>
      <c r="C11">
        <f>Regningsgrundlag!B11</f>
        <v>0</v>
      </c>
    </row>
    <row r="12" spans="1:4" ht="12.75">
      <c r="A12" t="s">
        <v>135</v>
      </c>
      <c r="C12" s="156">
        <f>Regningsgrundlag!B12</f>
        <v>0</v>
      </c>
      <c r="D12" s="155"/>
    </row>
    <row r="13" spans="1:3" ht="12.75">
      <c r="A13" t="s">
        <v>41</v>
      </c>
      <c r="C13">
        <f>Regningsgrundlag!B13</f>
        <v>0</v>
      </c>
    </row>
    <row r="16" spans="1:7" ht="12.75">
      <c r="A16" s="151" t="s">
        <v>97</v>
      </c>
      <c r="B16" s="152"/>
      <c r="C16" s="152"/>
      <c r="D16" s="55"/>
      <c r="E16" s="55"/>
      <c r="F16" s="153"/>
      <c r="G16" s="90"/>
    </row>
    <row r="17" spans="1:7" ht="12.75">
      <c r="A17" s="51" t="s">
        <v>52</v>
      </c>
      <c r="B17" s="39"/>
      <c r="C17" s="39"/>
      <c r="D17" s="53"/>
      <c r="E17" s="52" t="s">
        <v>27</v>
      </c>
      <c r="F17" s="85" t="s">
        <v>89</v>
      </c>
      <c r="G17" s="89" t="s">
        <v>44</v>
      </c>
    </row>
    <row r="18" spans="1:7" ht="12.75">
      <c r="A18" s="30" t="s">
        <v>101</v>
      </c>
      <c r="B18" s="28"/>
      <c r="C18" s="28"/>
      <c r="D18" s="29"/>
      <c r="E18" s="52"/>
      <c r="F18" s="70">
        <v>15</v>
      </c>
      <c r="G18" s="70">
        <f aca="true" t="shared" si="0" ref="G18:G48">E18*F18</f>
        <v>0</v>
      </c>
    </row>
    <row r="19" spans="1:7" ht="12.75">
      <c r="A19" s="30" t="s">
        <v>102</v>
      </c>
      <c r="B19" s="28"/>
      <c r="C19" s="28"/>
      <c r="D19" s="29"/>
      <c r="E19" s="52"/>
      <c r="F19" s="70">
        <v>50</v>
      </c>
      <c r="G19" s="70">
        <f t="shared" si="0"/>
        <v>0</v>
      </c>
    </row>
    <row r="20" spans="1:7" ht="12.75">
      <c r="A20" s="30" t="s">
        <v>103</v>
      </c>
      <c r="B20" s="28"/>
      <c r="C20" s="28"/>
      <c r="D20" s="29"/>
      <c r="E20" s="52"/>
      <c r="F20" s="70">
        <v>15</v>
      </c>
      <c r="G20" s="70">
        <f t="shared" si="0"/>
        <v>0</v>
      </c>
    </row>
    <row r="21" spans="1:7" ht="12.75">
      <c r="A21" s="30" t="s">
        <v>90</v>
      </c>
      <c r="B21" s="28"/>
      <c r="C21" s="28"/>
      <c r="D21" s="29"/>
      <c r="E21" s="52"/>
      <c r="F21" s="70">
        <v>50</v>
      </c>
      <c r="G21" s="70">
        <f t="shared" si="0"/>
        <v>0</v>
      </c>
    </row>
    <row r="22" spans="1:7" ht="12.75">
      <c r="A22" s="30" t="s">
        <v>104</v>
      </c>
      <c r="B22" s="28"/>
      <c r="C22" s="28"/>
      <c r="D22" s="29"/>
      <c r="E22" s="52"/>
      <c r="F22" s="70">
        <v>15</v>
      </c>
      <c r="G22" s="70">
        <f t="shared" si="0"/>
        <v>0</v>
      </c>
    </row>
    <row r="23" spans="1:7" ht="12.75">
      <c r="A23" s="30" t="s">
        <v>174</v>
      </c>
      <c r="B23" s="28"/>
      <c r="C23" s="28"/>
      <c r="D23" s="29"/>
      <c r="E23" s="52"/>
      <c r="F23" s="70">
        <v>25</v>
      </c>
      <c r="G23" s="70">
        <f t="shared" si="0"/>
        <v>0</v>
      </c>
    </row>
    <row r="24" spans="1:7" ht="12.75">
      <c r="A24" s="30" t="s">
        <v>46</v>
      </c>
      <c r="B24" s="28"/>
      <c r="C24" s="28"/>
      <c r="D24" s="29"/>
      <c r="E24" s="52"/>
      <c r="F24" s="70">
        <v>20</v>
      </c>
      <c r="G24" s="70">
        <f t="shared" si="0"/>
        <v>0</v>
      </c>
    </row>
    <row r="25" spans="1:7" ht="12.75">
      <c r="A25" s="30" t="s">
        <v>47</v>
      </c>
      <c r="B25" s="28"/>
      <c r="C25" s="28"/>
      <c r="D25" s="29"/>
      <c r="E25" s="52"/>
      <c r="F25" s="70">
        <v>15</v>
      </c>
      <c r="G25" s="70">
        <f t="shared" si="0"/>
        <v>0</v>
      </c>
    </row>
    <row r="26" spans="1:7" ht="12.75">
      <c r="A26" s="30" t="s">
        <v>100</v>
      </c>
      <c r="B26" s="28"/>
      <c r="C26" s="28"/>
      <c r="D26" s="29"/>
      <c r="E26" s="52"/>
      <c r="F26" s="70">
        <v>30</v>
      </c>
      <c r="G26" s="70">
        <f t="shared" si="0"/>
        <v>0</v>
      </c>
    </row>
    <row r="27" spans="1:7" ht="12.75">
      <c r="A27" s="30" t="s">
        <v>57</v>
      </c>
      <c r="B27" s="28"/>
      <c r="C27" s="28"/>
      <c r="D27" s="29"/>
      <c r="E27" s="52"/>
      <c r="F27" s="70">
        <v>120</v>
      </c>
      <c r="G27" s="70">
        <f t="shared" si="0"/>
        <v>0</v>
      </c>
    </row>
    <row r="28" spans="1:7" ht="12.75">
      <c r="A28" s="30" t="s">
        <v>56</v>
      </c>
      <c r="B28" s="28"/>
      <c r="C28" s="28"/>
      <c r="D28" s="29"/>
      <c r="E28" s="52"/>
      <c r="F28" s="70">
        <v>30</v>
      </c>
      <c r="G28" s="70">
        <f t="shared" si="0"/>
        <v>0</v>
      </c>
    </row>
    <row r="29" spans="1:7" ht="12.75">
      <c r="A29" s="30" t="s">
        <v>50</v>
      </c>
      <c r="B29" s="28"/>
      <c r="C29" s="28"/>
      <c r="D29" s="29"/>
      <c r="E29" s="52"/>
      <c r="F29" s="70">
        <v>30</v>
      </c>
      <c r="G29" s="70">
        <f t="shared" si="0"/>
        <v>0</v>
      </c>
    </row>
    <row r="30" spans="1:7" ht="12.75">
      <c r="A30" s="30" t="s">
        <v>105</v>
      </c>
      <c r="B30" s="28"/>
      <c r="C30" s="28"/>
      <c r="D30" s="29"/>
      <c r="E30" s="52"/>
      <c r="F30" s="70">
        <v>15</v>
      </c>
      <c r="G30" s="70">
        <f t="shared" si="0"/>
        <v>0</v>
      </c>
    </row>
    <row r="31" spans="1:7" ht="12.75">
      <c r="A31" s="30" t="s">
        <v>106</v>
      </c>
      <c r="B31" s="28"/>
      <c r="C31" s="28"/>
      <c r="D31" s="29"/>
      <c r="E31" s="52"/>
      <c r="F31" s="70">
        <v>15</v>
      </c>
      <c r="G31" s="70">
        <f t="shared" si="0"/>
        <v>0</v>
      </c>
    </row>
    <row r="32" spans="1:7" ht="12.75">
      <c r="A32" s="30" t="s">
        <v>107</v>
      </c>
      <c r="B32" s="28"/>
      <c r="C32" s="28"/>
      <c r="D32" s="29"/>
      <c r="E32" s="52"/>
      <c r="F32" s="70">
        <v>35</v>
      </c>
      <c r="G32" s="70">
        <f t="shared" si="0"/>
        <v>0</v>
      </c>
    </row>
    <row r="33" spans="1:7" ht="12.75">
      <c r="A33" s="30" t="s">
        <v>108</v>
      </c>
      <c r="B33" s="28"/>
      <c r="C33" s="28"/>
      <c r="D33" s="29"/>
      <c r="E33" s="52"/>
      <c r="F33" s="70">
        <v>45</v>
      </c>
      <c r="G33" s="70">
        <f t="shared" si="0"/>
        <v>0</v>
      </c>
    </row>
    <row r="34" spans="1:7" ht="12.75">
      <c r="A34" s="30" t="s">
        <v>109</v>
      </c>
      <c r="B34" s="28"/>
      <c r="C34" s="28"/>
      <c r="D34" s="29"/>
      <c r="E34" s="52"/>
      <c r="F34" s="70">
        <v>60</v>
      </c>
      <c r="G34" s="70">
        <f t="shared" si="0"/>
        <v>0</v>
      </c>
    </row>
    <row r="35" spans="1:7" ht="12.75">
      <c r="A35" s="30" t="s">
        <v>99</v>
      </c>
      <c r="B35" s="28"/>
      <c r="C35" s="28"/>
      <c r="D35" s="29"/>
      <c r="E35" s="52"/>
      <c r="F35" s="70">
        <v>30</v>
      </c>
      <c r="G35" s="70">
        <f t="shared" si="0"/>
        <v>0</v>
      </c>
    </row>
    <row r="36" spans="1:7" ht="12.75">
      <c r="A36" s="30" t="s">
        <v>98</v>
      </c>
      <c r="B36" s="28"/>
      <c r="C36" s="28"/>
      <c r="D36" s="29"/>
      <c r="E36" s="52"/>
      <c r="F36" s="70">
        <v>25</v>
      </c>
      <c r="G36" s="70">
        <f t="shared" si="0"/>
        <v>0</v>
      </c>
    </row>
    <row r="37" spans="1:7" ht="12.75">
      <c r="A37" s="30" t="s">
        <v>110</v>
      </c>
      <c r="B37" s="28"/>
      <c r="C37" s="28"/>
      <c r="D37" s="29"/>
      <c r="E37" s="52"/>
      <c r="F37" s="70">
        <v>15</v>
      </c>
      <c r="G37" s="70">
        <f t="shared" si="0"/>
        <v>0</v>
      </c>
    </row>
    <row r="38" spans="1:7" ht="12.75">
      <c r="A38" s="30" t="s">
        <v>111</v>
      </c>
      <c r="B38" s="28"/>
      <c r="C38" s="28"/>
      <c r="D38" s="29"/>
      <c r="E38" s="52"/>
      <c r="F38" s="70">
        <v>20</v>
      </c>
      <c r="G38" s="70">
        <f t="shared" si="0"/>
        <v>0</v>
      </c>
    </row>
    <row r="39" spans="1:7" ht="12.75">
      <c r="A39" s="30" t="s">
        <v>175</v>
      </c>
      <c r="B39" s="28"/>
      <c r="C39" s="28"/>
      <c r="D39" s="29"/>
      <c r="E39" s="52"/>
      <c r="F39" s="70">
        <v>10</v>
      </c>
      <c r="G39" s="70">
        <f t="shared" si="0"/>
        <v>0</v>
      </c>
    </row>
    <row r="40" spans="1:7" ht="12.75">
      <c r="A40" s="30" t="s">
        <v>112</v>
      </c>
      <c r="B40" s="28"/>
      <c r="C40" s="28"/>
      <c r="D40" s="29"/>
      <c r="E40" s="52"/>
      <c r="F40" s="70">
        <v>5</v>
      </c>
      <c r="G40" s="70">
        <f t="shared" si="0"/>
        <v>0</v>
      </c>
    </row>
    <row r="41" spans="1:7" ht="12.75">
      <c r="A41" s="30" t="s">
        <v>115</v>
      </c>
      <c r="B41" s="28"/>
      <c r="C41" s="28"/>
      <c r="D41" s="29"/>
      <c r="E41" s="52"/>
      <c r="F41" s="70">
        <v>5</v>
      </c>
      <c r="G41" s="70">
        <f t="shared" si="0"/>
        <v>0</v>
      </c>
    </row>
    <row r="42" spans="1:7" ht="12.75">
      <c r="A42" s="97" t="s">
        <v>116</v>
      </c>
      <c r="B42" s="28"/>
      <c r="C42" s="28"/>
      <c r="D42" s="29"/>
      <c r="E42" s="52"/>
      <c r="F42" s="70"/>
      <c r="G42" s="70">
        <f t="shared" si="0"/>
        <v>0</v>
      </c>
    </row>
    <row r="43" spans="1:7" ht="12.75">
      <c r="A43" s="30" t="s">
        <v>113</v>
      </c>
      <c r="B43" s="28"/>
      <c r="C43" s="28"/>
      <c r="D43" s="29"/>
      <c r="E43" s="52"/>
      <c r="F43" s="70">
        <v>129</v>
      </c>
      <c r="G43" s="70">
        <f t="shared" si="0"/>
        <v>0</v>
      </c>
    </row>
    <row r="44" spans="1:7" ht="12.75">
      <c r="A44" s="30" t="s">
        <v>163</v>
      </c>
      <c r="C44" s="28"/>
      <c r="D44" s="29"/>
      <c r="E44" s="52"/>
      <c r="F44" s="70">
        <v>169</v>
      </c>
      <c r="G44" s="70">
        <f t="shared" si="0"/>
        <v>0</v>
      </c>
    </row>
    <row r="45" spans="1:7" ht="12.75">
      <c r="A45" s="30" t="s">
        <v>114</v>
      </c>
      <c r="B45" s="28"/>
      <c r="C45" s="28"/>
      <c r="D45" s="29"/>
      <c r="E45" s="52"/>
      <c r="F45" s="70">
        <v>129</v>
      </c>
      <c r="G45" s="70">
        <f t="shared" si="0"/>
        <v>0</v>
      </c>
    </row>
    <row r="46" spans="1:7" ht="12.75">
      <c r="A46" s="30" t="s">
        <v>117</v>
      </c>
      <c r="B46" s="28"/>
      <c r="C46" s="28"/>
      <c r="D46" s="29"/>
      <c r="E46" s="52"/>
      <c r="F46" s="70"/>
      <c r="G46" s="70">
        <f t="shared" si="0"/>
        <v>0</v>
      </c>
    </row>
    <row r="47" spans="1:7" ht="12.75">
      <c r="A47" s="30" t="s">
        <v>34</v>
      </c>
      <c r="B47" s="28"/>
      <c r="C47" s="28"/>
      <c r="D47" s="29"/>
      <c r="E47" s="32"/>
      <c r="F47" s="71"/>
      <c r="G47" s="71">
        <f t="shared" si="0"/>
        <v>0</v>
      </c>
    </row>
    <row r="48" spans="1:7" ht="12.75">
      <c r="A48" s="30" t="s">
        <v>53</v>
      </c>
      <c r="B48" s="28"/>
      <c r="C48" s="28"/>
      <c r="D48" s="29"/>
      <c r="E48" s="32"/>
      <c r="F48" s="71"/>
      <c r="G48" s="71">
        <f t="shared" si="0"/>
        <v>0</v>
      </c>
    </row>
    <row r="49" spans="1:7" ht="12.75">
      <c r="A49" s="30" t="s">
        <v>34</v>
      </c>
      <c r="B49" s="28"/>
      <c r="C49" s="28"/>
      <c r="D49" s="29"/>
      <c r="E49" s="32"/>
      <c r="F49" s="70"/>
      <c r="G49" s="71">
        <f>E49*F48</f>
        <v>0</v>
      </c>
    </row>
    <row r="50" spans="1:7" ht="12.75">
      <c r="A50" s="45" t="s">
        <v>23</v>
      </c>
      <c r="B50" s="46"/>
      <c r="C50" s="46"/>
      <c r="D50" s="46"/>
      <c r="E50" s="46"/>
      <c r="F50" s="83"/>
      <c r="G50" s="83">
        <f>SUM(G18:G49)</f>
        <v>0</v>
      </c>
    </row>
    <row r="51" ht="12.75">
      <c r="G51" s="78"/>
    </row>
    <row r="52" spans="1:7" ht="12.75">
      <c r="A52" s="50" t="s">
        <v>162</v>
      </c>
      <c r="B52" s="122">
        <v>0</v>
      </c>
      <c r="G52" s="78"/>
    </row>
    <row r="53" ht="12.75">
      <c r="G53" s="78"/>
    </row>
    <row r="54" spans="1:7" ht="12.75">
      <c r="A54" s="54" t="s">
        <v>59</v>
      </c>
      <c r="B54" s="55"/>
      <c r="C54" s="55"/>
      <c r="D54" s="55"/>
      <c r="E54" s="55"/>
      <c r="F54" s="56"/>
      <c r="G54" s="90">
        <f>SUM(G1+G50)-(SUM(G1+G50)*B52)</f>
        <v>0</v>
      </c>
    </row>
  </sheetData>
  <sheetProtection/>
  <printOptions/>
  <pageMargins left="0.75" right="0.75" top="1" bottom="1" header="0.5" footer="0.5"/>
  <pageSetup fitToHeight="1" fitToWidth="1" orientation="portrait" paperSize="9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Badstuen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Askvig</dc:creator>
  <cp:keywords/>
  <dc:description/>
  <cp:lastModifiedBy>Allan Thustrup Mortensen</cp:lastModifiedBy>
  <cp:lastPrinted>2010-11-19T13:46:58Z</cp:lastPrinted>
  <dcterms:created xsi:type="dcterms:W3CDTF">2008-10-26T20:00:09Z</dcterms:created>
  <dcterms:modified xsi:type="dcterms:W3CDTF">2011-09-14T08:45:14Z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