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ni\Desktop\Excel\"/>
    </mc:Choice>
  </mc:AlternateContent>
  <xr:revisionPtr revIDLastSave="0" documentId="8_{05F826FF-80B2-475B-B326-53EAB26BF3D1}" xr6:coauthVersionLast="36" xr6:coauthVersionMax="36" xr10:uidLastSave="{00000000-0000-0000-0000-000000000000}"/>
  <bookViews>
    <workbookView xWindow="0" yWindow="0" windowWidth="21600" windowHeight="8925" xr2:uid="{3675F820-1D0C-47BC-83B3-2DC31C7350F2}"/>
  </bookViews>
  <sheets>
    <sheet name="Resultatopgørels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5" i="1" l="1"/>
  <c r="O46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O40" i="1"/>
  <c r="O39" i="1"/>
  <c r="O38" i="1"/>
  <c r="O37" i="1"/>
  <c r="O33" i="1"/>
  <c r="N30" i="1"/>
  <c r="M30" i="1"/>
  <c r="L30" i="1"/>
  <c r="K30" i="1"/>
  <c r="J30" i="1"/>
  <c r="I30" i="1"/>
  <c r="H30" i="1"/>
  <c r="G30" i="1"/>
  <c r="F30" i="1"/>
  <c r="E30" i="1"/>
  <c r="D30" i="1"/>
  <c r="O29" i="1"/>
  <c r="O28" i="1"/>
  <c r="O27" i="1"/>
  <c r="C26" i="1"/>
  <c r="C30" i="1" s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N11" i="1"/>
  <c r="M11" i="1"/>
  <c r="L11" i="1"/>
  <c r="K11" i="1"/>
  <c r="J11" i="1"/>
  <c r="I11" i="1"/>
  <c r="H11" i="1"/>
  <c r="G11" i="1"/>
  <c r="F11" i="1"/>
  <c r="E11" i="1"/>
  <c r="D11" i="1"/>
  <c r="O10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N13" i="1" s="1"/>
  <c r="M5" i="1"/>
  <c r="M13" i="1" s="1"/>
  <c r="M31" i="1" s="1"/>
  <c r="M35" i="1" s="1"/>
  <c r="M44" i="1" s="1"/>
  <c r="M48" i="1" s="1"/>
  <c r="M54" i="1" s="1"/>
  <c r="L5" i="1"/>
  <c r="L13" i="1" s="1"/>
  <c r="L31" i="1" s="1"/>
  <c r="L35" i="1" s="1"/>
  <c r="L44" i="1" s="1"/>
  <c r="L48" i="1" s="1"/>
  <c r="L54" i="1" s="1"/>
  <c r="K5" i="1"/>
  <c r="J5" i="1"/>
  <c r="J13" i="1" s="1"/>
  <c r="J31" i="1" s="1"/>
  <c r="J35" i="1" s="1"/>
  <c r="J44" i="1" s="1"/>
  <c r="J48" i="1" s="1"/>
  <c r="J54" i="1" s="1"/>
  <c r="I5" i="1"/>
  <c r="I13" i="1" s="1"/>
  <c r="I31" i="1" s="1"/>
  <c r="I35" i="1" s="1"/>
  <c r="I44" i="1" s="1"/>
  <c r="I48" i="1" s="1"/>
  <c r="I54" i="1" s="1"/>
  <c r="H5" i="1"/>
  <c r="H13" i="1" s="1"/>
  <c r="H31" i="1" s="1"/>
  <c r="H35" i="1" s="1"/>
  <c r="H44" i="1" s="1"/>
  <c r="H48" i="1" s="1"/>
  <c r="H54" i="1" s="1"/>
  <c r="G5" i="1"/>
  <c r="F5" i="1"/>
  <c r="F13" i="1" s="1"/>
  <c r="F31" i="1" s="1"/>
  <c r="F35" i="1" s="1"/>
  <c r="F44" i="1" s="1"/>
  <c r="F48" i="1" s="1"/>
  <c r="F54" i="1" s="1"/>
  <c r="E5" i="1"/>
  <c r="E13" i="1" s="1"/>
  <c r="E31" i="1" s="1"/>
  <c r="E35" i="1" s="1"/>
  <c r="E44" i="1" s="1"/>
  <c r="E48" i="1" s="1"/>
  <c r="E54" i="1" s="1"/>
  <c r="D5" i="1"/>
  <c r="D13" i="1" s="1"/>
  <c r="D31" i="1" s="1"/>
  <c r="D35" i="1" s="1"/>
  <c r="D44" i="1" s="1"/>
  <c r="D48" i="1" s="1"/>
  <c r="D54" i="1" s="1"/>
  <c r="C5" i="1"/>
  <c r="O2" i="1"/>
  <c r="N31" i="1" l="1"/>
  <c r="N35" i="1" s="1"/>
  <c r="N44" i="1" s="1"/>
  <c r="N48" i="1" s="1"/>
  <c r="N54" i="1" s="1"/>
  <c r="O11" i="1"/>
  <c r="O26" i="1"/>
  <c r="O30" i="1" s="1"/>
  <c r="O5" i="1"/>
  <c r="G13" i="1"/>
  <c r="G31" i="1" s="1"/>
  <c r="G35" i="1" s="1"/>
  <c r="G44" i="1" s="1"/>
  <c r="G48" i="1" s="1"/>
  <c r="G54" i="1" s="1"/>
  <c r="K13" i="1"/>
  <c r="K31" i="1" s="1"/>
  <c r="K35" i="1" s="1"/>
  <c r="K44" i="1" s="1"/>
  <c r="K48" i="1" s="1"/>
  <c r="K54" i="1" s="1"/>
  <c r="O6" i="1"/>
  <c r="O7" i="1"/>
  <c r="O8" i="1"/>
  <c r="O9" i="1"/>
  <c r="O42" i="1"/>
  <c r="C13" i="1"/>
  <c r="C31" i="1" l="1"/>
  <c r="C35" i="1" s="1"/>
  <c r="O13" i="1"/>
  <c r="O31" i="1" s="1"/>
  <c r="O35" i="1" l="1"/>
  <c r="O44" i="1" s="1"/>
  <c r="O48" i="1" s="1"/>
  <c r="O54" i="1" s="1"/>
  <c r="C44" i="1"/>
  <c r="C48" i="1" s="1"/>
  <c r="C54" i="1" s="1"/>
</calcChain>
</file>

<file path=xl/sharedStrings.xml><?xml version="1.0" encoding="utf-8"?>
<sst xmlns="http://schemas.openxmlformats.org/spreadsheetml/2006/main" count="60" uniqueCount="57">
  <si>
    <t>Stigning i %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</si>
  <si>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</si>
  <si>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</si>
  <si>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</si>
  <si>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</si>
  <si>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</si>
  <si>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</si>
  <si>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</si>
  <si>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</si>
  <si>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</si>
  <si>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</si>
  <si>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</si>
  <si>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</si>
  <si>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</si>
  <si>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Kommentarer</t>
  </si>
  <si>
    <t>License DK</t>
  </si>
  <si>
    <t>License (initial)</t>
  </si>
  <si>
    <t>License (Additional)</t>
  </si>
  <si>
    <t>Support DK</t>
  </si>
  <si>
    <t>Service DK</t>
  </si>
  <si>
    <t>Implementation DK</t>
  </si>
  <si>
    <t>Maintenance DK</t>
  </si>
  <si>
    <t>External DK</t>
  </si>
  <si>
    <t>Subscription</t>
  </si>
  <si>
    <t>Omsætning diverse</t>
  </si>
  <si>
    <t>Rejseomkostninger salg DK</t>
  </si>
  <si>
    <t>Omsætning DK i alt</t>
  </si>
  <si>
    <t>License EU</t>
  </si>
  <si>
    <t>Support EU</t>
  </si>
  <si>
    <t>Service EU</t>
  </si>
  <si>
    <t>Implementation EU</t>
  </si>
  <si>
    <t>Maintenance EU</t>
  </si>
  <si>
    <t>External EU</t>
  </si>
  <si>
    <t>License 3. land</t>
  </si>
  <si>
    <t>Support 3. land</t>
  </si>
  <si>
    <t>Service 3.land</t>
  </si>
  <si>
    <t>Implementation 3. land</t>
  </si>
  <si>
    <t>Maintenance 3. land</t>
  </si>
  <si>
    <t>Expenses</t>
  </si>
  <si>
    <t>External 3. land</t>
  </si>
  <si>
    <t>Omsætning udland i alt</t>
  </si>
  <si>
    <t>Samlet omsætning i alt</t>
  </si>
  <si>
    <t>Vareforbrug</t>
  </si>
  <si>
    <t>Bruttofortjeneste</t>
  </si>
  <si>
    <t>Personaleomkostninger</t>
  </si>
  <si>
    <t>Bilomkostninger</t>
  </si>
  <si>
    <t>Salgsomkostninger</t>
  </si>
  <si>
    <t>Lokaleomkostninger</t>
  </si>
  <si>
    <t>Administrationsomkostninger</t>
  </si>
  <si>
    <t>Omkostninger i alt</t>
  </si>
  <si>
    <t>Resultat før afskrivninger</t>
  </si>
  <si>
    <t>Afskrivninger</t>
  </si>
  <si>
    <t>Resultat før finansielle omkostninger</t>
  </si>
  <si>
    <t>Finansielle omkostninger</t>
  </si>
  <si>
    <t>Skat</t>
  </si>
  <si>
    <t>Periodens resultat</t>
  </si>
  <si>
    <t>Kommentarer: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</si>
</sst>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2" fillId="0" borderId="1" xfId="1" applyNumberFormat="1" applyFont="1" applyFill="1" applyBorder="1" applyProtection="1"/>
    <xf numFmtId="0" fontId="2" fillId="0" borderId="0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5" xfId="0" applyFont="1" applyFill="1" applyBorder="1" applyAlignment="1">
      <alignment horizontal="left"/>
    </xf>
    <xf numFmtId="164" fontId="3" fillId="0" borderId="1" xfId="1" applyNumberFormat="1" applyFont="1" applyFill="1" applyBorder="1" applyProtection="1"/>
    <xf numFmtId="164" fontId="2" fillId="0" borderId="6" xfId="1" applyNumberFormat="1" applyFont="1" applyFill="1" applyBorder="1" applyProtection="1"/>
    <xf numFmtId="164" fontId="2" fillId="0" borderId="1" xfId="1" applyNumberFormat="1" applyFont="1" applyFill="1" applyBorder="1"/>
    <xf numFmtId="0" fontId="3" fillId="0" borderId="2" xfId="0" applyFont="1" applyFill="1" applyBorder="1"/>
    <xf numFmtId="164" fontId="3" fillId="0" borderId="3" xfId="1" applyNumberFormat="1" applyFont="1" applyFill="1" applyBorder="1" applyProtection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164" fontId="3" fillId="0" borderId="4" xfId="1" applyNumberFormat="1" applyFont="1" applyFill="1" applyBorder="1" applyProtection="1"/>
    <xf numFmtId="0" fontId="3" fillId="0" borderId="4" xfId="0" applyFont="1" applyFill="1" applyBorder="1"/>
    <xf numFmtId="164" fontId="3" fillId="0" borderId="4" xfId="0" applyNumberFormat="1" applyFont="1" applyFill="1" applyBorder="1" applyProtection="1"/>
    <xf numFmtId="43" fontId="2" fillId="0" borderId="0" xfId="1" applyFont="1" applyFill="1" applyBorder="1"/>
    <xf numFmtId="164" fontId="3" fillId="0" borderId="5" xfId="0" applyNumberFormat="1" applyFont="1" applyFill="1" applyBorder="1"/>
    <xf numFmtId="0" fontId="3" fillId="0" borderId="7" xfId="0" applyFont="1" applyFill="1" applyBorder="1"/>
    <xf numFmtId="164" fontId="3" fillId="0" borderId="6" xfId="0" applyNumberFormat="1" applyFont="1" applyFill="1" applyBorder="1" applyProtection="1"/>
    <xf numFmtId="0" fontId="3" fillId="0" borderId="8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164" fontId="3" fillId="0" borderId="3" xfId="0" applyNumberFormat="1" applyFont="1" applyFill="1" applyBorder="1" applyProtection="1"/>
    <xf numFmtId="0" fontId="2" fillId="0" borderId="8" xfId="0" applyFont="1" applyFill="1" applyBorder="1" applyProtection="1"/>
    <xf numFmtId="164" fontId="2" fillId="0" borderId="0" xfId="1" applyNumberFormat="1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i/Desktop/Budget/budget%20%202019%20Logis%20%20ver%20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gt indtægt pr kunde 2018"/>
      <sheetName val="Oversigtsfordeling"/>
      <sheetName val="Data 2018"/>
      <sheetName val="Oversigt indtægter"/>
      <sheetName val="Data Resultat 2018"/>
      <sheetName val="Resultatopgørelse"/>
      <sheetName val="Oversigt pr kunde 2018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B48">
            <v>-100000</v>
          </cell>
        </row>
        <row r="66">
          <cell r="B66">
            <v>-51765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09EA-A3B8-4968-8C43-6713FD3431B8}">
  <sheetPr>
    <pageSetUpPr fitToPage="1"/>
  </sheetPr>
  <dimension ref="A1:S64"/>
  <sheetViews>
    <sheetView tabSelected="1" workbookViewId="0">
      <selection activeCell="C3" sqref="C3"/>
    </sheetView>
  </sheetViews>
  <sheetFormatPr defaultRowHeight="15" x14ac:dyDescent="0.25"/>
  <cols>
    <col min="1" max="2" width="33.5703125" style="2" customWidth="1"/>
    <col min="3" max="3" width="13.42578125" style="2" customWidth="1"/>
    <col min="4" max="4" width="10.7109375" style="2" customWidth="1"/>
    <col min="5" max="6" width="13.7109375" style="2" bestFit="1" customWidth="1"/>
    <col min="7" max="10" width="10.7109375" style="2" customWidth="1"/>
    <col min="11" max="11" width="12" style="2" bestFit="1" customWidth="1"/>
    <col min="12" max="12" width="11.7109375" style="2" customWidth="1"/>
    <col min="13" max="13" width="11.7109375" style="2" bestFit="1" customWidth="1"/>
    <col min="14" max="14" width="13.42578125" style="2" bestFit="1" customWidth="1"/>
    <col min="15" max="15" width="13.7109375" style="2" bestFit="1" customWidth="1"/>
    <col min="16" max="16" width="18.7109375" style="2" bestFit="1" customWidth="1"/>
    <col min="17" max="17" width="9.140625" style="2"/>
    <col min="18" max="18" width="13.7109375" style="2" bestFit="1" customWidth="1"/>
    <col min="19" max="19" width="9.7109375" style="2" bestFit="1" customWidth="1"/>
    <col min="20" max="16384" width="9.140625" style="2"/>
  </cols>
  <sheetData>
    <row r="1" spans="1:16" x14ac:dyDescent="0.25">
      <c r="A1" s="3">
        <v>2018</v>
      </c>
      <c r="B1" s="3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6" t="s">
        <v>14</v>
      </c>
    </row>
    <row r="2" spans="1:16" x14ac:dyDescent="0.25">
      <c r="A2" s="7" t="s">
        <v>15</v>
      </c>
      <c r="B2" s="7"/>
      <c r="C2" s="1"/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8">
        <v>115915</v>
      </c>
      <c r="M2" s="1">
        <v>67600</v>
      </c>
      <c r="N2" s="1">
        <v>0</v>
      </c>
      <c r="O2" s="9">
        <f>SUM(C2:N2)</f>
        <v>183515</v>
      </c>
      <c r="P2" s="10"/>
    </row>
    <row r="3" spans="1:16" x14ac:dyDescent="0.25">
      <c r="A3" s="7" t="s">
        <v>16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0"/>
    </row>
    <row r="4" spans="1:16" x14ac:dyDescent="0.25">
      <c r="A4" s="7" t="s">
        <v>17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0"/>
    </row>
    <row r="5" spans="1:16" x14ac:dyDescent="0.25">
      <c r="A5" s="7" t="s">
        <v>18</v>
      </c>
      <c r="B5" s="7"/>
      <c r="C5" s="1">
        <f>-'[1]Oversigt pr kunde 2018'!B48-'[1]Oversigt pr kunde 2018'!B66*(1+B5%)</f>
        <v>151765</v>
      </c>
      <c r="D5" s="1">
        <f>+(282489.5)*(1+B5%)</f>
        <v>282489.5</v>
      </c>
      <c r="E5" s="1">
        <f>249093.75*(1+B5%)</f>
        <v>249093.75</v>
      </c>
      <c r="F5" s="1">
        <f>561290.25*(1+B5%)</f>
        <v>561290.25</v>
      </c>
      <c r="G5" s="1">
        <f>250634.5*(1+$B$5%)</f>
        <v>250634.5</v>
      </c>
      <c r="H5" s="1">
        <f>325309*(1+$B$5%)</f>
        <v>325309</v>
      </c>
      <c r="I5" s="1">
        <f>445079.85*(1+$B$5%)</f>
        <v>445079.85</v>
      </c>
      <c r="J5" s="1">
        <f>313618.5*(1+$B$5%)</f>
        <v>313618.5</v>
      </c>
      <c r="K5" s="1">
        <f>211594*(1+$B$5%)</f>
        <v>211594</v>
      </c>
      <c r="L5" s="8">
        <f>565223.75*(1+$B$5%)</f>
        <v>565223.75</v>
      </c>
      <c r="M5" s="1">
        <f>899832.69*(1+$B$5%)</f>
        <v>899832.69</v>
      </c>
      <c r="N5" s="1">
        <f>473828.87*(1+$B$5%)</f>
        <v>473828.87</v>
      </c>
      <c r="O5" s="9">
        <f t="shared" ref="O5:O13" si="0">SUM(C5:N5)</f>
        <v>4729759.66</v>
      </c>
      <c r="P5" s="10"/>
    </row>
    <row r="6" spans="1:16" x14ac:dyDescent="0.25">
      <c r="A6" s="7" t="s">
        <v>19</v>
      </c>
      <c r="B6" s="7"/>
      <c r="C6" s="1">
        <f>37000*(1+$B$6%)</f>
        <v>37000</v>
      </c>
      <c r="D6" s="1">
        <f>383769.5*(1+$B$6%)</f>
        <v>383769.5</v>
      </c>
      <c r="E6" s="1">
        <f>1423544.75*(1+$B$6%)</f>
        <v>1423544.75</v>
      </c>
      <c r="F6" s="1">
        <f>1270464.1*(1+$B$5%)</f>
        <v>1270464.1000000001</v>
      </c>
      <c r="G6" s="1">
        <f>879169.01*(1+$B$6%)</f>
        <v>879169.01</v>
      </c>
      <c r="H6" s="1">
        <f>255699.32+(1+$B$6%)</f>
        <v>255700.32</v>
      </c>
      <c r="I6" s="1">
        <f>1383918.4*(1+$B$6%)</f>
        <v>1383918.4</v>
      </c>
      <c r="J6" s="1">
        <f>421987.1*(1+$B$6%)</f>
        <v>421987.1</v>
      </c>
      <c r="K6" s="1">
        <f>733330.64*(1+$B$6%)</f>
        <v>733330.64</v>
      </c>
      <c r="L6" s="8">
        <f>966192-620676*(1+$B$6%)</f>
        <v>345516</v>
      </c>
      <c r="M6" s="1">
        <f>2397047.2*(1+$B$6%)</f>
        <v>2397047.2000000002</v>
      </c>
      <c r="N6" s="1">
        <f>57822*(1+$B$6%)</f>
        <v>57822</v>
      </c>
      <c r="O6" s="9">
        <f t="shared" si="0"/>
        <v>9589269.0199999996</v>
      </c>
      <c r="P6" s="10"/>
    </row>
    <row r="7" spans="1:16" x14ac:dyDescent="0.25">
      <c r="A7" s="7" t="s">
        <v>20</v>
      </c>
      <c r="B7" s="7"/>
      <c r="C7" s="1">
        <f>0*(1+$B$7%)</f>
        <v>0</v>
      </c>
      <c r="D7" s="1">
        <f>0*(1+$B$7%)</f>
        <v>0</v>
      </c>
      <c r="E7" s="1">
        <f>0*(1+$B$7%)</f>
        <v>0</v>
      </c>
      <c r="F7" s="1">
        <f t="shared" ref="F7:K7" si="1">0*(1+$B$7%)</f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8">
        <f>315588*(1+B7%)</f>
        <v>315588</v>
      </c>
      <c r="M7" s="1">
        <f>363068*(1+B7%)</f>
        <v>363068</v>
      </c>
      <c r="N7" s="1">
        <f>847669.6*(1+B7%)</f>
        <v>847669.6</v>
      </c>
      <c r="O7" s="9">
        <f t="shared" si="0"/>
        <v>1526325.6</v>
      </c>
      <c r="P7" s="10"/>
    </row>
    <row r="8" spans="1:16" x14ac:dyDescent="0.25">
      <c r="A8" s="7" t="s">
        <v>21</v>
      </c>
      <c r="B8" s="7"/>
      <c r="C8" s="1">
        <f>2290969.16*(1+B8%)</f>
        <v>2290969.16</v>
      </c>
      <c r="D8" s="1">
        <f>240902.8*(1+B8%)</f>
        <v>240902.8</v>
      </c>
      <c r="E8" s="1">
        <f>228487.6*(1+B8%)</f>
        <v>228487.6</v>
      </c>
      <c r="F8" s="1">
        <f>367171.6*(1+B8%)</f>
        <v>367171.6</v>
      </c>
      <c r="G8" s="1">
        <f>239898.8*(1+B8%)</f>
        <v>239898.8</v>
      </c>
      <c r="H8" s="1">
        <f>257084.4*(1+B8%)</f>
        <v>257084.4</v>
      </c>
      <c r="I8" s="1">
        <f>247700.4*(1+B8%)</f>
        <v>247700.4</v>
      </c>
      <c r="J8" s="1">
        <f>233959.6*(1+B8%)</f>
        <v>233959.6</v>
      </c>
      <c r="K8" s="1">
        <f>252843.6*(1+B8%)</f>
        <v>252843.6</v>
      </c>
      <c r="L8" s="8">
        <f>461424.2*(1+B8%)</f>
        <v>461424.2</v>
      </c>
      <c r="M8" s="1">
        <f>609765.85*(1+B8%)</f>
        <v>609765.85</v>
      </c>
      <c r="N8" s="1">
        <f>215321.1*(1+B8%)</f>
        <v>215321.1</v>
      </c>
      <c r="O8" s="9">
        <f t="shared" si="0"/>
        <v>5645529.1099999994</v>
      </c>
      <c r="P8" s="10"/>
    </row>
    <row r="9" spans="1:16" x14ac:dyDescent="0.25">
      <c r="A9" s="7" t="s">
        <v>22</v>
      </c>
      <c r="B9" s="7"/>
      <c r="C9" s="1">
        <f>0*(1+$B$9%)</f>
        <v>0</v>
      </c>
      <c r="D9" s="1">
        <f>168897*(1+$B$9%)</f>
        <v>168897</v>
      </c>
      <c r="E9" s="1">
        <f>137902*(1+B9%)</f>
        <v>137902</v>
      </c>
      <c r="F9" s="1">
        <f>0*(1+B9%)</f>
        <v>0</v>
      </c>
      <c r="G9" s="1">
        <f>51608*(1+B9%)</f>
        <v>51608</v>
      </c>
      <c r="H9" s="1">
        <v>45320</v>
      </c>
      <c r="I9" s="1">
        <v>62460</v>
      </c>
      <c r="J9" s="1">
        <v>52044</v>
      </c>
      <c r="K9" s="1">
        <v>71450.25</v>
      </c>
      <c r="L9" s="8">
        <v>62269</v>
      </c>
      <c r="M9" s="1">
        <v>116224</v>
      </c>
      <c r="N9" s="1">
        <v>87641</v>
      </c>
      <c r="O9" s="9">
        <f t="shared" si="0"/>
        <v>855815.25</v>
      </c>
      <c r="P9" s="10"/>
    </row>
    <row r="10" spans="1:16" x14ac:dyDescent="0.25">
      <c r="A10" s="7" t="s">
        <v>23</v>
      </c>
      <c r="B10" s="7"/>
      <c r="C10" s="1">
        <v>51160</v>
      </c>
      <c r="D10" s="1"/>
      <c r="E10" s="1"/>
      <c r="F10" s="1">
        <v>51160</v>
      </c>
      <c r="G10" s="1"/>
      <c r="H10" s="1"/>
      <c r="I10" s="1"/>
      <c r="J10" s="1"/>
      <c r="K10" s="1"/>
      <c r="L10" s="1"/>
      <c r="M10" s="1"/>
      <c r="N10" s="1"/>
      <c r="O10" s="9">
        <f t="shared" si="0"/>
        <v>102320</v>
      </c>
      <c r="P10" s="10"/>
    </row>
    <row r="11" spans="1:16" x14ac:dyDescent="0.25">
      <c r="A11" s="7" t="s">
        <v>24</v>
      </c>
      <c r="B11" s="7"/>
      <c r="C11" s="1"/>
      <c r="D11" s="1">
        <f t="shared" ref="D11:N11" si="2">0*(1+$B$11%)</f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9">
        <f t="shared" si="0"/>
        <v>0</v>
      </c>
      <c r="P11" s="10"/>
    </row>
    <row r="12" spans="1:16" x14ac:dyDescent="0.25">
      <c r="A12" s="7" t="s">
        <v>25</v>
      </c>
      <c r="B12" s="7"/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9">
        <f t="shared" si="0"/>
        <v>0</v>
      </c>
      <c r="P12" s="10"/>
    </row>
    <row r="13" spans="1:16" x14ac:dyDescent="0.25">
      <c r="A13" s="11" t="s">
        <v>26</v>
      </c>
      <c r="B13" s="11"/>
      <c r="C13" s="12">
        <f>SUM(C2:C12)</f>
        <v>2530894.16</v>
      </c>
      <c r="D13" s="12">
        <f t="shared" ref="D13:N13" si="3">SUM(D2:D12)</f>
        <v>1076058.8</v>
      </c>
      <c r="E13" s="12">
        <f t="shared" si="3"/>
        <v>2039028.1</v>
      </c>
      <c r="F13" s="12">
        <f t="shared" si="3"/>
        <v>2250085.9500000002</v>
      </c>
      <c r="G13" s="12">
        <f t="shared" si="3"/>
        <v>1421310.31</v>
      </c>
      <c r="H13" s="12">
        <f t="shared" si="3"/>
        <v>883413.72000000009</v>
      </c>
      <c r="I13" s="12">
        <f t="shared" si="3"/>
        <v>2139158.65</v>
      </c>
      <c r="J13" s="12">
        <f t="shared" si="3"/>
        <v>1021609.2</v>
      </c>
      <c r="K13" s="12">
        <f t="shared" si="3"/>
        <v>1269218.49</v>
      </c>
      <c r="L13" s="12">
        <f t="shared" si="3"/>
        <v>1865935.95</v>
      </c>
      <c r="M13" s="12">
        <f t="shared" si="3"/>
        <v>4453537.74</v>
      </c>
      <c r="N13" s="12">
        <f t="shared" si="3"/>
        <v>1682282.57</v>
      </c>
      <c r="O13" s="12">
        <f t="shared" si="0"/>
        <v>22632533.640000001</v>
      </c>
      <c r="P13" s="13"/>
    </row>
    <row r="14" spans="1:16" x14ac:dyDescent="0.25">
      <c r="A14" s="14" t="s">
        <v>27</v>
      </c>
      <c r="B14" s="14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8">
        <v>746430.54</v>
      </c>
      <c r="M14" s="1">
        <v>0</v>
      </c>
      <c r="N14" s="1">
        <v>0</v>
      </c>
      <c r="O14" s="9">
        <f>SUM(C14:N14)</f>
        <v>746430.54</v>
      </c>
      <c r="P14" s="15"/>
    </row>
    <row r="15" spans="1:16" x14ac:dyDescent="0.25">
      <c r="A15" s="7" t="s">
        <v>16</v>
      </c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">
        <f t="shared" ref="O15:O29" si="4">SUM(C15:N15)</f>
        <v>0</v>
      </c>
      <c r="P15" s="15"/>
    </row>
    <row r="16" spans="1:16" x14ac:dyDescent="0.25">
      <c r="A16" s="7" t="s">
        <v>17</v>
      </c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9">
        <f t="shared" si="4"/>
        <v>0</v>
      </c>
      <c r="P16" s="15"/>
    </row>
    <row r="17" spans="1:19" x14ac:dyDescent="0.25">
      <c r="A17" s="14" t="s">
        <v>28</v>
      </c>
      <c r="B17" s="14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9">
        <f t="shared" si="4"/>
        <v>0</v>
      </c>
      <c r="P17" s="15"/>
    </row>
    <row r="18" spans="1:19" x14ac:dyDescent="0.25">
      <c r="A18" s="14" t="s">
        <v>29</v>
      </c>
      <c r="B18" s="14"/>
      <c r="C18" s="1">
        <v>0</v>
      </c>
      <c r="D18" s="1">
        <v>553066.29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8">
        <v>149241.32</v>
      </c>
      <c r="M18" s="1"/>
      <c r="N18" s="1">
        <v>0</v>
      </c>
      <c r="O18" s="9">
        <f t="shared" si="4"/>
        <v>702307.6100000001</v>
      </c>
      <c r="P18" s="15"/>
    </row>
    <row r="19" spans="1:19" x14ac:dyDescent="0.25">
      <c r="A19" s="14" t="s">
        <v>30</v>
      </c>
      <c r="B19" s="14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8">
        <v>133984.28</v>
      </c>
      <c r="M19" s="1">
        <v>0</v>
      </c>
      <c r="N19" s="1">
        <v>0</v>
      </c>
      <c r="O19" s="9">
        <f t="shared" si="4"/>
        <v>133984.28</v>
      </c>
      <c r="P19" s="15"/>
    </row>
    <row r="20" spans="1:19" x14ac:dyDescent="0.25">
      <c r="A20" s="14" t="s">
        <v>31</v>
      </c>
      <c r="B20" s="14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8">
        <v>28140.43</v>
      </c>
      <c r="M20" s="1">
        <v>0</v>
      </c>
      <c r="N20" s="1">
        <v>0</v>
      </c>
      <c r="O20" s="9">
        <f t="shared" si="4"/>
        <v>28140.43</v>
      </c>
      <c r="P20" s="15"/>
    </row>
    <row r="21" spans="1:19" x14ac:dyDescent="0.25">
      <c r="A21" s="14" t="s">
        <v>32</v>
      </c>
      <c r="B21" s="14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9">
        <f t="shared" si="4"/>
        <v>0</v>
      </c>
      <c r="P21" s="15"/>
    </row>
    <row r="22" spans="1:19" x14ac:dyDescent="0.25">
      <c r="A22" s="14" t="s">
        <v>33</v>
      </c>
      <c r="B22" s="14"/>
      <c r="C22" s="8"/>
      <c r="D22" s="1">
        <v>2296644</v>
      </c>
      <c r="E22" s="1">
        <v>0</v>
      </c>
      <c r="F22" s="1">
        <v>0</v>
      </c>
      <c r="G22" s="1">
        <v>0</v>
      </c>
      <c r="H22" s="1">
        <v>1594983.58</v>
      </c>
      <c r="I22" s="1">
        <v>1532693.58</v>
      </c>
      <c r="J22" s="1">
        <v>4331.53</v>
      </c>
      <c r="K22" s="1">
        <v>0</v>
      </c>
      <c r="L22" s="8">
        <v>472362.8</v>
      </c>
      <c r="M22" s="1">
        <v>5976406.3200000003</v>
      </c>
      <c r="N22" s="1">
        <v>1925372.21</v>
      </c>
      <c r="O22" s="9">
        <f t="shared" si="4"/>
        <v>13802794.02</v>
      </c>
      <c r="P22" s="15"/>
    </row>
    <row r="23" spans="1:19" x14ac:dyDescent="0.25">
      <c r="A23" s="14" t="s">
        <v>34</v>
      </c>
      <c r="B23" s="14"/>
      <c r="C23" s="1">
        <v>0</v>
      </c>
      <c r="D23" s="1">
        <v>22891.93</v>
      </c>
      <c r="E23" s="1">
        <v>28807.94</v>
      </c>
      <c r="F23" s="1">
        <v>16961.66</v>
      </c>
      <c r="G23" s="1">
        <v>19692.3</v>
      </c>
      <c r="H23" s="1">
        <v>8304.0400000000009</v>
      </c>
      <c r="I23" s="1">
        <v>0</v>
      </c>
      <c r="J23" s="1">
        <v>6996.15</v>
      </c>
      <c r="K23" s="1">
        <v>33369.629999999997</v>
      </c>
      <c r="L23" s="8">
        <v>29804.77</v>
      </c>
      <c r="M23" s="1">
        <v>5299.37</v>
      </c>
      <c r="N23" s="1">
        <v>31647.07</v>
      </c>
      <c r="O23" s="9">
        <f t="shared" si="4"/>
        <v>203774.86</v>
      </c>
      <c r="P23" s="10"/>
    </row>
    <row r="24" spans="1:19" x14ac:dyDescent="0.25">
      <c r="A24" s="14" t="s">
        <v>35</v>
      </c>
      <c r="B24" s="14"/>
      <c r="C24" s="1">
        <v>0</v>
      </c>
      <c r="D24" s="1">
        <v>340770.93</v>
      </c>
      <c r="E24" s="1">
        <v>76326.39</v>
      </c>
      <c r="F24" s="1">
        <v>143622.15</v>
      </c>
      <c r="G24" s="1">
        <v>601366.18999999994</v>
      </c>
      <c r="H24" s="1">
        <v>18911.95</v>
      </c>
      <c r="I24" s="1">
        <v>59576.28</v>
      </c>
      <c r="J24" s="1">
        <v>163204.35</v>
      </c>
      <c r="K24" s="1">
        <v>820893.82</v>
      </c>
      <c r="L24" s="8">
        <v>176033.87</v>
      </c>
      <c r="M24" s="1">
        <v>149070.97</v>
      </c>
      <c r="N24" s="1">
        <v>157212.78</v>
      </c>
      <c r="O24" s="9">
        <f t="shared" si="4"/>
        <v>2706989.68</v>
      </c>
      <c r="P24" s="15"/>
    </row>
    <row r="25" spans="1:19" x14ac:dyDescent="0.25">
      <c r="A25" s="14" t="s">
        <v>36</v>
      </c>
      <c r="B25" s="14"/>
      <c r="C25" s="1">
        <v>0</v>
      </c>
      <c r="D25" s="1">
        <v>-1102.04</v>
      </c>
      <c r="E25" s="1">
        <v>0</v>
      </c>
      <c r="F25" s="1">
        <v>0</v>
      </c>
      <c r="G25" s="1">
        <v>0</v>
      </c>
      <c r="H25" s="1">
        <v>229457</v>
      </c>
      <c r="I25" s="1">
        <v>113387.82</v>
      </c>
      <c r="J25" s="1">
        <v>142647.03</v>
      </c>
      <c r="K25" s="1">
        <v>0</v>
      </c>
      <c r="L25" s="8">
        <v>278820.02</v>
      </c>
      <c r="M25" s="1">
        <v>358055.14</v>
      </c>
      <c r="N25" s="1">
        <v>33818.1</v>
      </c>
      <c r="O25" s="9">
        <f t="shared" si="4"/>
        <v>1155083.0700000003</v>
      </c>
      <c r="P25" s="15"/>
    </row>
    <row r="26" spans="1:19" x14ac:dyDescent="0.25">
      <c r="A26" s="14" t="s">
        <v>37</v>
      </c>
      <c r="B26" s="14"/>
      <c r="C26" s="8">
        <f>1727292.53-97723</f>
        <v>1629569.53</v>
      </c>
      <c r="D26" s="1">
        <v>60481.87</v>
      </c>
      <c r="E26" s="1">
        <v>86312.89</v>
      </c>
      <c r="F26" s="1">
        <v>1682560.4</v>
      </c>
      <c r="G26" s="1">
        <v>60770.63</v>
      </c>
      <c r="H26" s="1">
        <v>90355.82</v>
      </c>
      <c r="I26" s="1">
        <v>2015515.64</v>
      </c>
      <c r="J26" s="1">
        <v>0</v>
      </c>
      <c r="K26" s="1">
        <v>2329891.61</v>
      </c>
      <c r="L26" s="1">
        <v>0</v>
      </c>
      <c r="M26" s="1">
        <v>223784.71</v>
      </c>
      <c r="N26" s="1">
        <v>0</v>
      </c>
      <c r="O26" s="9">
        <f t="shared" si="4"/>
        <v>8179243.0999999987</v>
      </c>
      <c r="P26" s="15"/>
    </row>
    <row r="27" spans="1:19" x14ac:dyDescent="0.25">
      <c r="A27" s="7" t="s">
        <v>38</v>
      </c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">
        <f t="shared" si="4"/>
        <v>0</v>
      </c>
      <c r="P27" s="15"/>
    </row>
    <row r="28" spans="1:19" x14ac:dyDescent="0.25">
      <c r="A28" s="7" t="s">
        <v>23</v>
      </c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">
        <f t="shared" si="4"/>
        <v>0</v>
      </c>
      <c r="P28" s="15"/>
    </row>
    <row r="29" spans="1:19" x14ac:dyDescent="0.25">
      <c r="A29" s="14" t="s">
        <v>39</v>
      </c>
      <c r="B29" s="14"/>
      <c r="C29" s="8">
        <v>-4220</v>
      </c>
      <c r="D29" s="1">
        <v>0</v>
      </c>
      <c r="E29" s="1">
        <v>132908.54</v>
      </c>
      <c r="F29" s="1">
        <v>74915.509999999995</v>
      </c>
      <c r="G29" s="1">
        <v>164282.76</v>
      </c>
      <c r="H29" s="1">
        <v>6107.77</v>
      </c>
      <c r="I29" s="1">
        <v>272706.53999999998</v>
      </c>
      <c r="J29" s="1">
        <v>0</v>
      </c>
      <c r="K29" s="1">
        <v>503203.92000000004</v>
      </c>
      <c r="L29" s="1">
        <v>80818</v>
      </c>
      <c r="M29" s="1">
        <v>20304.88</v>
      </c>
      <c r="N29" s="1">
        <v>162689.38</v>
      </c>
      <c r="O29" s="9">
        <f t="shared" si="4"/>
        <v>1413717.2999999998</v>
      </c>
      <c r="P29" s="15"/>
    </row>
    <row r="30" spans="1:19" x14ac:dyDescent="0.25">
      <c r="A30" s="11" t="s">
        <v>40</v>
      </c>
      <c r="B30" s="6"/>
      <c r="C30" s="16">
        <f t="shared" ref="C30:O30" si="5">SUM(C14:C29)</f>
        <v>1625349.53</v>
      </c>
      <c r="D30" s="12">
        <f t="shared" si="5"/>
        <v>3272752.9800000004</v>
      </c>
      <c r="E30" s="12">
        <f t="shared" si="5"/>
        <v>324355.76</v>
      </c>
      <c r="F30" s="12">
        <f t="shared" si="5"/>
        <v>1918059.72</v>
      </c>
      <c r="G30" s="12">
        <f t="shared" si="5"/>
        <v>846111.88</v>
      </c>
      <c r="H30" s="12">
        <f t="shared" si="5"/>
        <v>1948120.1600000001</v>
      </c>
      <c r="I30" s="12">
        <f t="shared" si="5"/>
        <v>3993879.8600000003</v>
      </c>
      <c r="J30" s="12">
        <f t="shared" si="5"/>
        <v>317179.06</v>
      </c>
      <c r="K30" s="12">
        <f t="shared" si="5"/>
        <v>3687358.9799999995</v>
      </c>
      <c r="L30" s="12">
        <f t="shared" si="5"/>
        <v>2095636.0300000003</v>
      </c>
      <c r="M30" s="12">
        <f t="shared" si="5"/>
        <v>6732921.3899999997</v>
      </c>
      <c r="N30" s="12">
        <f t="shared" si="5"/>
        <v>2310739.54</v>
      </c>
      <c r="O30" s="12">
        <f t="shared" si="5"/>
        <v>29072464.889999997</v>
      </c>
      <c r="P30" s="13"/>
    </row>
    <row r="31" spans="1:19" x14ac:dyDescent="0.25">
      <c r="A31" s="11" t="s">
        <v>41</v>
      </c>
      <c r="B31" s="17"/>
      <c r="C31" s="18">
        <f>+C13+C30</f>
        <v>4156243.6900000004</v>
      </c>
      <c r="D31" s="18">
        <f t="shared" ref="D31:O31" si="6">+D13+D30</f>
        <v>4348811.78</v>
      </c>
      <c r="E31" s="18">
        <f t="shared" si="6"/>
        <v>2363383.8600000003</v>
      </c>
      <c r="F31" s="18">
        <f t="shared" si="6"/>
        <v>4168145.67</v>
      </c>
      <c r="G31" s="18">
        <f t="shared" si="6"/>
        <v>2267422.19</v>
      </c>
      <c r="H31" s="18">
        <f t="shared" si="6"/>
        <v>2831533.8800000004</v>
      </c>
      <c r="I31" s="18">
        <f t="shared" si="6"/>
        <v>6133038.5099999998</v>
      </c>
      <c r="J31" s="18">
        <f t="shared" si="6"/>
        <v>1338788.26</v>
      </c>
      <c r="K31" s="18">
        <f t="shared" si="6"/>
        <v>4956577.47</v>
      </c>
      <c r="L31" s="18">
        <f t="shared" si="6"/>
        <v>3961571.9800000004</v>
      </c>
      <c r="M31" s="18">
        <f t="shared" si="6"/>
        <v>11186459.129999999</v>
      </c>
      <c r="N31" s="18">
        <f t="shared" si="6"/>
        <v>3993022.1100000003</v>
      </c>
      <c r="O31" s="18">
        <f t="shared" si="6"/>
        <v>51704998.530000001</v>
      </c>
      <c r="P31" s="13"/>
      <c r="R31" s="19"/>
      <c r="S31" s="19"/>
    </row>
    <row r="32" spans="1:19" x14ac:dyDescent="0.2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5"/>
      <c r="R32" s="19"/>
      <c r="S32" s="19"/>
    </row>
    <row r="33" spans="1:16" ht="15" customHeight="1" x14ac:dyDescent="0.25">
      <c r="A33" s="14" t="s">
        <v>42</v>
      </c>
      <c r="B33" s="23"/>
      <c r="C33" s="9">
        <v>30000</v>
      </c>
      <c r="D33" s="1">
        <v>2159540.42</v>
      </c>
      <c r="E33" s="1">
        <v>4570061.5599999996</v>
      </c>
      <c r="F33" s="1">
        <v>1321744.1299999999</v>
      </c>
      <c r="G33" s="1">
        <v>961574.72</v>
      </c>
      <c r="H33" s="1">
        <v>664969.09</v>
      </c>
      <c r="I33" s="1">
        <v>918535.54999999993</v>
      </c>
      <c r="J33" s="1">
        <v>369327.79000000004</v>
      </c>
      <c r="K33" s="1">
        <v>2330694.1</v>
      </c>
      <c r="L33" s="1">
        <v>290806.05</v>
      </c>
      <c r="M33" s="1">
        <v>1231003.3599999999</v>
      </c>
      <c r="N33" s="1">
        <v>1010708.6500000001</v>
      </c>
      <c r="O33" s="9">
        <f>SUM(C33:N33)</f>
        <v>15858965.420000002</v>
      </c>
      <c r="P33" s="15"/>
    </row>
    <row r="34" spans="1:16" x14ac:dyDescent="0.25">
      <c r="A34" s="14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9"/>
      <c r="P34" s="15"/>
    </row>
    <row r="35" spans="1:16" x14ac:dyDescent="0.25">
      <c r="A35" s="11" t="s">
        <v>43</v>
      </c>
      <c r="B35" s="11"/>
      <c r="C35" s="27">
        <f>+C31-C33</f>
        <v>4126243.6900000004</v>
      </c>
      <c r="D35" s="27">
        <f>+D31-D33</f>
        <v>2189271.3600000003</v>
      </c>
      <c r="E35" s="27">
        <f>+E31-E33</f>
        <v>-2206677.6999999993</v>
      </c>
      <c r="F35" s="27">
        <f>+F31-F33</f>
        <v>2846401.54</v>
      </c>
      <c r="G35" s="27">
        <f>+G31-G33</f>
        <v>1305847.47</v>
      </c>
      <c r="H35" s="27">
        <f>+H31-H33</f>
        <v>2166564.7900000005</v>
      </c>
      <c r="I35" s="27">
        <f>+I31-I33</f>
        <v>5214502.96</v>
      </c>
      <c r="J35" s="27">
        <f>+J31-J33</f>
        <v>969460.47</v>
      </c>
      <c r="K35" s="27">
        <f>+K31-K33</f>
        <v>2625883.3699999996</v>
      </c>
      <c r="L35" s="27">
        <f>+L31-L33</f>
        <v>3670765.9300000006</v>
      </c>
      <c r="M35" s="27">
        <f>+M31-M33</f>
        <v>9955455.7699999996</v>
      </c>
      <c r="N35" s="27">
        <f>+N31-N33</f>
        <v>2982313.46</v>
      </c>
      <c r="O35" s="18">
        <f>SUM(C35:N35)</f>
        <v>35846033.109999999</v>
      </c>
      <c r="P35" s="13"/>
    </row>
    <row r="36" spans="1:16" x14ac:dyDescent="0.25">
      <c r="A36" s="14"/>
      <c r="B36" s="1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9"/>
      <c r="P36" s="15"/>
    </row>
    <row r="37" spans="1:16" x14ac:dyDescent="0.25">
      <c r="A37" s="14" t="s">
        <v>44</v>
      </c>
      <c r="B37" s="14"/>
      <c r="C37" s="1">
        <v>2217163.6799999997</v>
      </c>
      <c r="D37" s="1">
        <v>2217163.6799999997</v>
      </c>
      <c r="E37" s="1">
        <v>2217163.6799999997</v>
      </c>
      <c r="F37" s="1">
        <v>2217163.6799999997</v>
      </c>
      <c r="G37" s="1">
        <v>2217163.6799999997</v>
      </c>
      <c r="H37" s="1">
        <v>2217163.6799999997</v>
      </c>
      <c r="I37" s="1">
        <v>2217163.6799999997</v>
      </c>
      <c r="J37" s="1">
        <v>2217163.6799999997</v>
      </c>
      <c r="K37" s="1">
        <v>2217163.6799999997</v>
      </c>
      <c r="L37" s="1">
        <v>2217163.6799999997</v>
      </c>
      <c r="M37" s="1">
        <v>2217163.6799999997</v>
      </c>
      <c r="N37" s="1">
        <v>2217163.6799999997</v>
      </c>
      <c r="O37" s="9">
        <f>SUM(C37:N37)</f>
        <v>26605964.159999996</v>
      </c>
      <c r="P37" s="15"/>
    </row>
    <row r="38" spans="1:16" x14ac:dyDescent="0.25">
      <c r="A38" s="14" t="s">
        <v>45</v>
      </c>
      <c r="B38" s="14"/>
      <c r="C38" s="1">
        <v>67623.149999999994</v>
      </c>
      <c r="D38" s="1">
        <v>67623.149999999994</v>
      </c>
      <c r="E38" s="1">
        <v>67623.149999999994</v>
      </c>
      <c r="F38" s="1">
        <v>67623.149999999994</v>
      </c>
      <c r="G38" s="1">
        <v>67623.149999999994</v>
      </c>
      <c r="H38" s="1">
        <v>67623.149999999994</v>
      </c>
      <c r="I38" s="1">
        <v>67623.149999999994</v>
      </c>
      <c r="J38" s="1">
        <v>67623.149999999994</v>
      </c>
      <c r="K38" s="1">
        <v>67623.149999999994</v>
      </c>
      <c r="L38" s="1">
        <v>67623.149999999994</v>
      </c>
      <c r="M38" s="1">
        <v>67623.149999999994</v>
      </c>
      <c r="N38" s="1">
        <v>67623.149999999994</v>
      </c>
      <c r="O38" s="9">
        <f t="shared" ref="O38:O41" si="7">SUM(C38:N38)</f>
        <v>811477.80000000016</v>
      </c>
      <c r="P38" s="15"/>
    </row>
    <row r="39" spans="1:16" x14ac:dyDescent="0.25">
      <c r="A39" s="14" t="s">
        <v>46</v>
      </c>
      <c r="B39" s="14"/>
      <c r="C39" s="1">
        <v>43058.48</v>
      </c>
      <c r="D39" s="1">
        <v>58256.36</v>
      </c>
      <c r="E39" s="1">
        <v>39174.269999999997</v>
      </c>
      <c r="F39" s="1">
        <v>212454.84</v>
      </c>
      <c r="G39" s="1">
        <v>94715.07</v>
      </c>
      <c r="H39" s="1">
        <v>188093.07</v>
      </c>
      <c r="I39" s="1">
        <v>189541.72</v>
      </c>
      <c r="J39" s="1">
        <v>76397.16</v>
      </c>
      <c r="K39" s="1">
        <v>98928.989999999991</v>
      </c>
      <c r="L39" s="1">
        <v>76853.039999999994</v>
      </c>
      <c r="M39" s="1">
        <v>27334.6</v>
      </c>
      <c r="N39" s="1">
        <v>165421.03999999998</v>
      </c>
      <c r="O39" s="9">
        <f t="shared" si="7"/>
        <v>1270228.6400000001</v>
      </c>
      <c r="P39" s="15"/>
    </row>
    <row r="40" spans="1:16" x14ac:dyDescent="0.25">
      <c r="A40" s="14" t="s">
        <v>47</v>
      </c>
      <c r="B40" s="14"/>
      <c r="C40" s="1">
        <v>170889.49</v>
      </c>
      <c r="D40" s="1">
        <v>101558.77000000002</v>
      </c>
      <c r="E40" s="1">
        <v>104353</v>
      </c>
      <c r="F40" s="1">
        <v>10437</v>
      </c>
      <c r="G40" s="1">
        <v>200813.81</v>
      </c>
      <c r="H40" s="1">
        <v>101148.24</v>
      </c>
      <c r="I40" s="1">
        <v>109600.96999999999</v>
      </c>
      <c r="J40" s="1">
        <v>19060.609999999997</v>
      </c>
      <c r="K40" s="1">
        <v>99762.07</v>
      </c>
      <c r="L40" s="1">
        <v>107929.99</v>
      </c>
      <c r="M40" s="1">
        <v>126194.96</v>
      </c>
      <c r="N40" s="1">
        <v>100731.49</v>
      </c>
      <c r="O40" s="9">
        <f t="shared" si="7"/>
        <v>1252480.3999999999</v>
      </c>
      <c r="P40" s="15"/>
    </row>
    <row r="41" spans="1:16" x14ac:dyDescent="0.25">
      <c r="A41" s="14" t="s">
        <v>48</v>
      </c>
      <c r="B41" s="14"/>
      <c r="C41" s="1">
        <v>224335.82</v>
      </c>
      <c r="D41" s="1">
        <v>254146.30000000002</v>
      </c>
      <c r="E41" s="1">
        <v>617776.36999999988</v>
      </c>
      <c r="F41" s="1">
        <v>201203.16</v>
      </c>
      <c r="G41" s="1">
        <v>376357.94</v>
      </c>
      <c r="H41" s="1">
        <v>400662.67</v>
      </c>
      <c r="I41" s="1">
        <v>63076.58</v>
      </c>
      <c r="J41" s="1">
        <v>564644.05000000005</v>
      </c>
      <c r="K41" s="1">
        <v>313068.85000000003</v>
      </c>
      <c r="L41" s="1">
        <v>156941.18000000002</v>
      </c>
      <c r="M41" s="1">
        <v>213547.95</v>
      </c>
      <c r="N41" s="1">
        <v>291400.26</v>
      </c>
      <c r="O41" s="9">
        <f t="shared" si="7"/>
        <v>3677161.13</v>
      </c>
      <c r="P41" s="15"/>
    </row>
    <row r="42" spans="1:16" x14ac:dyDescent="0.25">
      <c r="A42" s="11" t="s">
        <v>49</v>
      </c>
      <c r="B42" s="11"/>
      <c r="C42" s="12">
        <f>SUM(C37:C41)</f>
        <v>2723070.6199999996</v>
      </c>
      <c r="D42" s="12">
        <f t="shared" ref="D42:O42" si="8">SUM(D37:D41)</f>
        <v>2698748.2599999993</v>
      </c>
      <c r="E42" s="12">
        <f t="shared" si="8"/>
        <v>3046090.4699999997</v>
      </c>
      <c r="F42" s="12">
        <f t="shared" si="8"/>
        <v>2708881.8299999996</v>
      </c>
      <c r="G42" s="12">
        <f t="shared" si="8"/>
        <v>2956673.6499999994</v>
      </c>
      <c r="H42" s="12">
        <f t="shared" si="8"/>
        <v>2974690.8099999996</v>
      </c>
      <c r="I42" s="12">
        <f t="shared" si="8"/>
        <v>2647006.1</v>
      </c>
      <c r="J42" s="12">
        <f t="shared" si="8"/>
        <v>2944888.6499999994</v>
      </c>
      <c r="K42" s="12">
        <f t="shared" si="8"/>
        <v>2796546.7399999993</v>
      </c>
      <c r="L42" s="12">
        <f t="shared" si="8"/>
        <v>2626511.04</v>
      </c>
      <c r="M42" s="12">
        <f t="shared" si="8"/>
        <v>2651864.34</v>
      </c>
      <c r="N42" s="12">
        <f t="shared" si="8"/>
        <v>2842339.62</v>
      </c>
      <c r="O42" s="12">
        <f t="shared" si="8"/>
        <v>33617312.129999995</v>
      </c>
      <c r="P42" s="13"/>
    </row>
    <row r="43" spans="1:16" x14ac:dyDescent="0.25">
      <c r="A43" s="14"/>
      <c r="B43" s="14"/>
      <c r="C43" s="26"/>
      <c r="D43" s="2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9"/>
      <c r="P43" s="15"/>
    </row>
    <row r="44" spans="1:16" x14ac:dyDescent="0.25">
      <c r="A44" s="11" t="s">
        <v>50</v>
      </c>
      <c r="B44" s="11"/>
      <c r="C44" s="27">
        <f>+C35-C42</f>
        <v>1403173.0700000008</v>
      </c>
      <c r="D44" s="27">
        <f t="shared" ref="D44:O44" si="9">+D35-D42</f>
        <v>-509476.89999999898</v>
      </c>
      <c r="E44" s="27">
        <f t="shared" si="9"/>
        <v>-5252768.169999999</v>
      </c>
      <c r="F44" s="27">
        <f t="shared" si="9"/>
        <v>137519.71000000043</v>
      </c>
      <c r="G44" s="27">
        <f t="shared" si="9"/>
        <v>-1650826.1799999995</v>
      </c>
      <c r="H44" s="27">
        <f t="shared" si="9"/>
        <v>-808126.01999999909</v>
      </c>
      <c r="I44" s="27">
        <f t="shared" si="9"/>
        <v>2567496.86</v>
      </c>
      <c r="J44" s="27">
        <f t="shared" si="9"/>
        <v>-1975428.1799999995</v>
      </c>
      <c r="K44" s="27">
        <f t="shared" si="9"/>
        <v>-170663.36999999965</v>
      </c>
      <c r="L44" s="27">
        <f t="shared" si="9"/>
        <v>1044254.8900000006</v>
      </c>
      <c r="M44" s="27">
        <f t="shared" si="9"/>
        <v>7303591.4299999997</v>
      </c>
      <c r="N44" s="27">
        <f t="shared" si="9"/>
        <v>139973.83999999985</v>
      </c>
      <c r="O44" s="27">
        <f t="shared" si="9"/>
        <v>2228720.9800000042</v>
      </c>
      <c r="P44" s="13"/>
    </row>
    <row r="45" spans="1:16" x14ac:dyDescent="0.25">
      <c r="A45" s="14"/>
      <c r="B45" s="14"/>
      <c r="C45" s="26"/>
      <c r="D45" s="2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9">
        <v>0</v>
      </c>
      <c r="P45" s="15"/>
    </row>
    <row r="46" spans="1:16" x14ac:dyDescent="0.25">
      <c r="A46" s="14" t="s">
        <v>51</v>
      </c>
      <c r="B46" s="14"/>
      <c r="C46" s="1">
        <v>0</v>
      </c>
      <c r="D46" s="1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509555.47000000003</v>
      </c>
      <c r="O46" s="9">
        <f>SUM(C46:N46)</f>
        <v>509555.47000000003</v>
      </c>
      <c r="P46" s="15"/>
    </row>
    <row r="47" spans="1:16" x14ac:dyDescent="0.25">
      <c r="A47" s="14"/>
      <c r="B47" s="14"/>
      <c r="C47" s="26"/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9">
        <v>0</v>
      </c>
      <c r="P47" s="15"/>
    </row>
    <row r="48" spans="1:16" x14ac:dyDescent="0.25">
      <c r="A48" s="11" t="s">
        <v>52</v>
      </c>
      <c r="B48" s="11"/>
      <c r="C48" s="27">
        <f>+C44-C46</f>
        <v>1403173.0700000008</v>
      </c>
      <c r="D48" s="27">
        <f t="shared" ref="D48:O48" si="10">+D44-D46</f>
        <v>-509476.89999999898</v>
      </c>
      <c r="E48" s="27">
        <f t="shared" si="10"/>
        <v>-5252768.169999999</v>
      </c>
      <c r="F48" s="27">
        <f t="shared" si="10"/>
        <v>137519.71000000043</v>
      </c>
      <c r="G48" s="27">
        <f t="shared" si="10"/>
        <v>-1650826.1799999995</v>
      </c>
      <c r="H48" s="27">
        <f t="shared" si="10"/>
        <v>-808126.01999999909</v>
      </c>
      <c r="I48" s="27">
        <f t="shared" si="10"/>
        <v>2567496.86</v>
      </c>
      <c r="J48" s="27">
        <f t="shared" si="10"/>
        <v>-1975428.1799999995</v>
      </c>
      <c r="K48" s="27">
        <f t="shared" si="10"/>
        <v>-170663.36999999965</v>
      </c>
      <c r="L48" s="27">
        <f t="shared" si="10"/>
        <v>1044254.8900000006</v>
      </c>
      <c r="M48" s="27">
        <f t="shared" si="10"/>
        <v>7303591.4299999997</v>
      </c>
      <c r="N48" s="27">
        <f t="shared" si="10"/>
        <v>-369581.63000000018</v>
      </c>
      <c r="O48" s="27">
        <f t="shared" si="10"/>
        <v>1719165.5100000042</v>
      </c>
      <c r="P48" s="13"/>
    </row>
    <row r="49" spans="1:17" x14ac:dyDescent="0.25">
      <c r="A49" s="14"/>
      <c r="B49" s="14"/>
      <c r="C49" s="26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9"/>
      <c r="P49" s="15"/>
    </row>
    <row r="50" spans="1:17" x14ac:dyDescent="0.25">
      <c r="A50" s="14" t="s">
        <v>53</v>
      </c>
      <c r="B50" s="14"/>
      <c r="C50" s="1">
        <v>214389.06</v>
      </c>
      <c r="D50" s="1">
        <v>-35136.21</v>
      </c>
      <c r="E50" s="1">
        <v>76184.320000000007</v>
      </c>
      <c r="F50" s="1">
        <v>62588.39</v>
      </c>
      <c r="G50" s="1">
        <v>-22843.49</v>
      </c>
      <c r="H50" s="1">
        <v>22088.77</v>
      </c>
      <c r="I50" s="1">
        <v>18622.240000000002</v>
      </c>
      <c r="J50" s="1">
        <v>25693.8</v>
      </c>
      <c r="K50" s="1">
        <v>13142.41</v>
      </c>
      <c r="L50" s="1">
        <v>-58259.45</v>
      </c>
      <c r="M50" s="1">
        <v>-67825.210000000006</v>
      </c>
      <c r="N50" s="1">
        <v>20822.020000000004</v>
      </c>
      <c r="O50" s="9">
        <v>269466.64999999997</v>
      </c>
      <c r="P50" s="15"/>
    </row>
    <row r="51" spans="1:17" x14ac:dyDescent="0.25">
      <c r="A51" s="14"/>
      <c r="B51" s="14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9"/>
      <c r="P51" s="15"/>
    </row>
    <row r="52" spans="1:17" x14ac:dyDescent="0.25">
      <c r="A52" s="14" t="s">
        <v>54</v>
      </c>
      <c r="B52" s="14"/>
      <c r="C52" s="1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5"/>
    </row>
    <row r="53" spans="1:17" x14ac:dyDescent="0.25">
      <c r="A53" s="14"/>
      <c r="B53" s="14"/>
      <c r="C53" s="2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9"/>
      <c r="P53" s="15"/>
    </row>
    <row r="54" spans="1:17" x14ac:dyDescent="0.25">
      <c r="A54" s="11" t="s">
        <v>55</v>
      </c>
      <c r="B54" s="11"/>
      <c r="C54" s="27">
        <f>+C48+C50</f>
        <v>1617562.1300000008</v>
      </c>
      <c r="D54" s="27">
        <f t="shared" ref="D54:N54" si="11">+D48+D50</f>
        <v>-544613.10999999894</v>
      </c>
      <c r="E54" s="27">
        <f t="shared" si="11"/>
        <v>-5176583.8499999987</v>
      </c>
      <c r="F54" s="27">
        <f t="shared" si="11"/>
        <v>200108.10000000044</v>
      </c>
      <c r="G54" s="27">
        <f t="shared" si="11"/>
        <v>-1673669.6699999995</v>
      </c>
      <c r="H54" s="27">
        <f t="shared" si="11"/>
        <v>-786037.24999999907</v>
      </c>
      <c r="I54" s="27">
        <f t="shared" si="11"/>
        <v>2586119.1</v>
      </c>
      <c r="J54" s="27">
        <f t="shared" si="11"/>
        <v>-1949734.3799999994</v>
      </c>
      <c r="K54" s="27">
        <f t="shared" si="11"/>
        <v>-157520.95999999964</v>
      </c>
      <c r="L54" s="27">
        <f t="shared" si="11"/>
        <v>985995.44000000064</v>
      </c>
      <c r="M54" s="27">
        <f t="shared" si="11"/>
        <v>7235766.2199999997</v>
      </c>
      <c r="N54" s="27">
        <f t="shared" si="11"/>
        <v>-348759.61000000016</v>
      </c>
      <c r="O54" s="27">
        <f>+O48+O50</f>
        <v>1988632.1600000041</v>
      </c>
      <c r="P54" s="13"/>
    </row>
    <row r="55" spans="1:17" x14ac:dyDescent="0.25">
      <c r="O55" s="29">
        <f t="shared" ref="O55" si="12">SUM(C55:N55)</f>
        <v>0</v>
      </c>
    </row>
    <row r="56" spans="1:17" x14ac:dyDescent="0.25">
      <c r="A56" s="30" t="s">
        <v>56</v>
      </c>
      <c r="B56" s="30"/>
      <c r="L56" s="31"/>
      <c r="O56" s="29"/>
    </row>
    <row r="57" spans="1:17" x14ac:dyDescent="0.25">
      <c r="O57" s="29"/>
    </row>
    <row r="58" spans="1:17" x14ac:dyDescent="0.25">
      <c r="O58" s="29"/>
    </row>
    <row r="59" spans="1:17" x14ac:dyDescent="0.25">
      <c r="C59" s="31"/>
      <c r="D59" s="31"/>
      <c r="E59" s="31"/>
      <c r="F59" s="31"/>
      <c r="G59" s="31"/>
      <c r="H59" s="31"/>
      <c r="I59" s="31"/>
      <c r="J59" s="31"/>
      <c r="K59" s="31"/>
      <c r="L59" s="31"/>
      <c r="O59" s="31"/>
      <c r="Q59" s="31"/>
    </row>
    <row r="60" spans="1:17" x14ac:dyDescent="0.25">
      <c r="O60" s="29"/>
    </row>
    <row r="61" spans="1:17" x14ac:dyDescent="0.25">
      <c r="O61" s="29"/>
    </row>
    <row r="62" spans="1:17" x14ac:dyDescent="0.25">
      <c r="O62" s="29"/>
    </row>
    <row r="63" spans="1:17" x14ac:dyDescent="0.25">
      <c r="O63" s="29"/>
    </row>
    <row r="64" spans="1:17" x14ac:dyDescent="0.25">
      <c r="O64" s="29"/>
    </row>
  </sheetData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Resultatopgørelse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Nielsen</dc:creator>
  <cp:lastModifiedBy>Torben Nielsen</cp:lastModifiedBy>
  <dcterms:created xsi:type="dcterms:W3CDTF">2019-02-01T13:35:59Z</dcterms:created>
  <dcterms:modified xsi:type="dcterms:W3CDTF">2019-02-01T13:36:22Z</dcterms:modified>
</cp:coreProperties>
</file>