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E11AD4D8-98D1-4F74-95E0-85EE303FADFC}" xr6:coauthVersionLast="47" xr6:coauthVersionMax="47" xr10:uidLastSave="{00000000-0000-0000-0000-000000000000}"/>
  <bookViews>
    <workbookView xWindow="-120" yWindow="-120" windowWidth="29040" windowHeight="16440" activeTab="1" xr2:uid="{B3AF35E5-C655-4DCC-9F41-01535E470F61}"/>
  </bookViews>
  <sheets>
    <sheet name="Vindlast" sheetId="1" r:id="rId1"/>
    <sheet name="Saddelta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C25" i="2"/>
  <c r="C7" i="2"/>
  <c r="C8" i="2" s="1"/>
  <c r="C10" i="2" s="1"/>
  <c r="C12" i="2"/>
  <c r="C14" i="2"/>
  <c r="C16" i="2"/>
  <c r="B42" i="2"/>
  <c r="D73" i="1"/>
  <c r="K84" i="1"/>
  <c r="K83" i="1"/>
  <c r="K82" i="1"/>
  <c r="D76" i="1"/>
  <c r="C88" i="1" s="1"/>
  <c r="D75" i="1"/>
  <c r="D74" i="1"/>
  <c r="C17" i="2" l="1"/>
  <c r="C15" i="2" s="1"/>
  <c r="C9" i="2"/>
  <c r="D78" i="1"/>
  <c r="D54" i="1"/>
  <c r="C66" i="1" s="1"/>
  <c r="D69" i="1"/>
  <c r="D70" i="1" s="1"/>
  <c r="D47" i="1"/>
  <c r="C11" i="2" l="1"/>
  <c r="C13" i="2"/>
  <c r="D72" i="1"/>
  <c r="D71" i="1"/>
  <c r="L21" i="1" l="1"/>
  <c r="O20" i="1"/>
  <c r="O19" i="1"/>
  <c r="O18" i="1"/>
  <c r="O21" i="1" s="1"/>
  <c r="E15" i="1"/>
  <c r="D24" i="1" s="1"/>
  <c r="D27" i="1" s="1"/>
  <c r="D15" i="1"/>
  <c r="D33" i="1" l="1"/>
  <c r="D41" i="1" s="1"/>
  <c r="D30" i="1"/>
  <c r="D56" i="1"/>
  <c r="C42" i="2" l="1"/>
  <c r="E43" i="2"/>
  <c r="G42" i="2"/>
  <c r="C43" i="2"/>
  <c r="D42" i="2"/>
  <c r="F42" i="2"/>
  <c r="D43" i="2"/>
  <c r="E42" i="2"/>
  <c r="G43" i="2"/>
  <c r="D53" i="1"/>
  <c r="D52" i="1"/>
  <c r="K60" i="1" l="1"/>
  <c r="K62" i="1" l="1"/>
  <c r="K61" i="1"/>
  <c r="D48" i="1"/>
  <c r="D51" i="1" s="1"/>
  <c r="D50" i="1" l="1"/>
  <c r="D49" i="1"/>
  <c r="D44" i="1" l="1"/>
  <c r="J91" i="1" l="1"/>
  <c r="J92" i="1"/>
  <c r="J93" i="1"/>
  <c r="H66" i="1"/>
  <c r="H88" i="1"/>
  <c r="F88" i="1"/>
  <c r="D88" i="1"/>
  <c r="G88" i="1"/>
  <c r="E88" i="1"/>
  <c r="F66" i="1"/>
  <c r="E66" i="1"/>
  <c r="G66" i="1"/>
  <c r="D66" i="1"/>
</calcChain>
</file>

<file path=xl/sharedStrings.xml><?xml version="1.0" encoding="utf-8"?>
<sst xmlns="http://schemas.openxmlformats.org/spreadsheetml/2006/main" count="245" uniqueCount="122">
  <si>
    <t>Beregning af vindlaster</t>
  </si>
  <si>
    <t>Af Michael Pedersen</t>
  </si>
  <si>
    <t>Nr.</t>
  </si>
  <si>
    <r>
      <t>Orografofaktoren(C</t>
    </r>
    <r>
      <rPr>
        <sz val="8"/>
        <color theme="1"/>
        <rFont val="Aptos Narrow"/>
        <family val="2"/>
        <scheme val="minor"/>
      </rPr>
      <t>0(z)</t>
    </r>
    <r>
      <rPr>
        <sz val="11"/>
        <color theme="1"/>
        <rFont val="Aptos Narrow"/>
        <family val="2"/>
        <scheme val="minor"/>
      </rPr>
      <t>):</t>
    </r>
  </si>
  <si>
    <t>Basis vindhastighed</t>
  </si>
  <si>
    <t xml:space="preserve">Øst </t>
  </si>
  <si>
    <t>[m/s]</t>
  </si>
  <si>
    <t>Basisvindhastighed:</t>
  </si>
  <si>
    <t>Vest</t>
  </si>
  <si>
    <t>[m]</t>
  </si>
  <si>
    <t xml:space="preserve">Terrænkategori: </t>
  </si>
  <si>
    <r>
      <t>Z</t>
    </r>
    <r>
      <rPr>
        <sz val="8"/>
        <color theme="1"/>
        <rFont val="Aptos Narrow"/>
        <family val="2"/>
        <scheme val="minor"/>
      </rPr>
      <t>0</t>
    </r>
  </si>
  <si>
    <r>
      <t>Z</t>
    </r>
    <r>
      <rPr>
        <sz val="8"/>
        <color theme="1"/>
        <rFont val="Aptos Narrow"/>
        <family val="2"/>
        <scheme val="minor"/>
      </rPr>
      <t>min</t>
    </r>
  </si>
  <si>
    <r>
      <t>Z</t>
    </r>
    <r>
      <rPr>
        <sz val="8"/>
        <color theme="1"/>
        <rFont val="Aptos Narrow"/>
        <family val="2"/>
        <scheme val="minor"/>
      </rPr>
      <t>maks</t>
    </r>
  </si>
  <si>
    <t>Vand</t>
  </si>
  <si>
    <t>Land</t>
  </si>
  <si>
    <t>Forstad</t>
  </si>
  <si>
    <t>By</t>
  </si>
  <si>
    <t>Terrænfaktor</t>
  </si>
  <si>
    <r>
      <t>K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=</t>
    </r>
  </si>
  <si>
    <t>Ruhedsfaktor:</t>
  </si>
  <si>
    <r>
      <t>C</t>
    </r>
    <r>
      <rPr>
        <sz val="8"/>
        <color theme="1"/>
        <rFont val="Aptos Narrow"/>
        <family val="2"/>
        <scheme val="minor"/>
      </rPr>
      <t>r</t>
    </r>
    <r>
      <rPr>
        <sz val="11"/>
        <color theme="1"/>
        <rFont val="Aptos Narrow"/>
        <family val="2"/>
        <scheme val="minor"/>
      </rPr>
      <t>(z)</t>
    </r>
    <r>
      <rPr>
        <sz val="8"/>
        <color theme="1"/>
        <rFont val="Aptos Narrow"/>
        <family val="2"/>
        <scheme val="minor"/>
      </rPr>
      <t>=</t>
    </r>
  </si>
  <si>
    <t>Middelvindhastighed:</t>
  </si>
  <si>
    <r>
      <t>v</t>
    </r>
    <r>
      <rPr>
        <sz val="8"/>
        <color theme="1"/>
        <rFont val="Aptos Narrow"/>
        <family val="2"/>
        <scheme val="minor"/>
      </rPr>
      <t>m</t>
    </r>
    <r>
      <rPr>
        <sz val="11"/>
        <color theme="1"/>
        <rFont val="Aptos Narrow"/>
        <family val="2"/>
        <scheme val="minor"/>
      </rPr>
      <t>(z)=</t>
    </r>
  </si>
  <si>
    <t>Vindens turbolens:</t>
  </si>
  <si>
    <r>
      <t>l</t>
    </r>
    <r>
      <rPr>
        <sz val="8"/>
        <color theme="1"/>
        <rFont val="Aptos Narrow"/>
        <family val="2"/>
        <scheme val="minor"/>
      </rPr>
      <t>v</t>
    </r>
    <r>
      <rPr>
        <sz val="11"/>
        <color theme="1"/>
        <rFont val="Aptos Narrow"/>
        <family val="2"/>
        <scheme val="minor"/>
      </rPr>
      <t>(z)=</t>
    </r>
  </si>
  <si>
    <r>
      <t>q</t>
    </r>
    <r>
      <rPr>
        <sz val="8"/>
        <color theme="1"/>
        <rFont val="Aptos Narrow"/>
        <family val="2"/>
        <scheme val="minor"/>
      </rPr>
      <t>p(z)</t>
    </r>
    <r>
      <rPr>
        <sz val="11"/>
        <color theme="1"/>
        <rFont val="Aptos Narrow"/>
        <family val="2"/>
        <scheme val="minor"/>
      </rPr>
      <t>=</t>
    </r>
  </si>
  <si>
    <r>
      <t>[kN/m</t>
    </r>
    <r>
      <rPr>
        <sz val="11"/>
        <color theme="1"/>
        <rFont val="Calibri"/>
        <family val="2"/>
      </rPr>
      <t>²</t>
    </r>
    <r>
      <rPr>
        <sz val="11"/>
        <color theme="1"/>
        <rFont val="Aptos Narrow"/>
        <family val="2"/>
      </rPr>
      <t>]</t>
    </r>
  </si>
  <si>
    <t>Vind på facader:</t>
  </si>
  <si>
    <r>
      <t>e</t>
    </r>
    <r>
      <rPr>
        <sz val="8"/>
        <color theme="1"/>
        <rFont val="Aptos Narrow"/>
        <family val="2"/>
        <scheme val="minor"/>
      </rPr>
      <t>(min)</t>
    </r>
    <r>
      <rPr>
        <sz val="11"/>
        <color theme="1"/>
        <rFont val="Aptos Narrow"/>
        <family val="2"/>
        <scheme val="minor"/>
      </rPr>
      <t>=</t>
    </r>
  </si>
  <si>
    <t>e=</t>
  </si>
  <si>
    <t>A=</t>
  </si>
  <si>
    <t>B=</t>
  </si>
  <si>
    <t>C=</t>
  </si>
  <si>
    <t>h/d=</t>
  </si>
  <si>
    <t>Zone h/d</t>
  </si>
  <si>
    <t>A</t>
  </si>
  <si>
    <t>B</t>
  </si>
  <si>
    <t>C</t>
  </si>
  <si>
    <t>D</t>
  </si>
  <si>
    <t>E</t>
  </si>
  <si>
    <r>
      <t xml:space="preserve">Korrelationsfaktor </t>
    </r>
    <r>
      <rPr>
        <sz val="11"/>
        <color theme="1"/>
        <rFont val="Aptos Narrow"/>
        <family val="2"/>
      </rPr>
      <t>ρ</t>
    </r>
  </si>
  <si>
    <r>
      <t>(D-E)*</t>
    </r>
    <r>
      <rPr>
        <sz val="11"/>
        <color theme="1"/>
        <rFont val="Aptos Narrow"/>
        <family val="2"/>
      </rPr>
      <t>ρ</t>
    </r>
  </si>
  <si>
    <r>
      <t>Turbolensfaktor (k</t>
    </r>
    <r>
      <rPr>
        <sz val="8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):</t>
    </r>
  </si>
  <si>
    <t>Ifølge nationale anneks.</t>
  </si>
  <si>
    <t>Højde:</t>
  </si>
  <si>
    <t>Enhed:</t>
  </si>
  <si>
    <t xml:space="preserve"> </t>
  </si>
  <si>
    <t>D=</t>
  </si>
  <si>
    <t>E=</t>
  </si>
  <si>
    <t>≤0.25</t>
  </si>
  <si>
    <r>
      <t>F</t>
    </r>
    <r>
      <rPr>
        <sz val="8"/>
        <color theme="1"/>
        <rFont val="Aptos Narrow"/>
        <family val="2"/>
        <scheme val="minor"/>
      </rPr>
      <t>længde</t>
    </r>
    <r>
      <rPr>
        <sz val="11"/>
        <color theme="1"/>
        <rFont val="Aptos Narrow"/>
        <family val="2"/>
        <scheme val="minor"/>
      </rPr>
      <t>=</t>
    </r>
  </si>
  <si>
    <t>Zone</t>
  </si>
  <si>
    <t xml:space="preserve"> h/d</t>
  </si>
  <si>
    <r>
      <t>C</t>
    </r>
    <r>
      <rPr>
        <sz val="8"/>
        <color theme="1"/>
        <rFont val="Aptos Narrow"/>
        <family val="2"/>
        <scheme val="minor"/>
      </rPr>
      <t>pe,10</t>
    </r>
  </si>
  <si>
    <t>F</t>
  </si>
  <si>
    <t>G</t>
  </si>
  <si>
    <t>H</t>
  </si>
  <si>
    <t>I</t>
  </si>
  <si>
    <t>J</t>
  </si>
  <si>
    <t>+0,0</t>
  </si>
  <si>
    <t>-0,5</t>
  </si>
  <si>
    <t>+0,7</t>
  </si>
  <si>
    <t>-0,0</t>
  </si>
  <si>
    <t>-0,9</t>
  </si>
  <si>
    <t>+0,2</t>
  </si>
  <si>
    <t>+0,8</t>
  </si>
  <si>
    <t>-1,2</t>
  </si>
  <si>
    <t>-0,8</t>
  </si>
  <si>
    <t>-0,6</t>
  </si>
  <si>
    <t>-0,3</t>
  </si>
  <si>
    <t>-0,2</t>
  </si>
  <si>
    <t>+0,4</t>
  </si>
  <si>
    <t>+0,6</t>
  </si>
  <si>
    <t>-0,4</t>
  </si>
  <si>
    <t>+0,0,</t>
  </si>
  <si>
    <t>-1,0</t>
  </si>
  <si>
    <t>0,0</t>
  </si>
  <si>
    <t>[°]</t>
  </si>
  <si>
    <t>Det antages at vind virkende mod
 tagfladen betragtes som tryk og på læsiden som sug. Formfaktorerne for vind på tværs på saddeltag, er følgende:</t>
  </si>
  <si>
    <t>Terrænkategori</t>
  </si>
  <si>
    <t>Det karakteristiske vindtryk</t>
  </si>
  <si>
    <t>[kN/m²]</t>
  </si>
  <si>
    <t>Orografifaktor:</t>
  </si>
  <si>
    <t>Skråningshøjde:</t>
  </si>
  <si>
    <t>Skråningslængde:</t>
  </si>
  <si>
    <t>Byning afstand fra skråningstop</t>
  </si>
  <si>
    <t>Taghældning:</t>
  </si>
  <si>
    <r>
      <t>c</t>
    </r>
    <r>
      <rPr>
        <sz val="8"/>
        <color theme="1"/>
        <rFont val="Aptos Narrow"/>
        <family val="2"/>
        <scheme val="minor"/>
      </rPr>
      <t>t</t>
    </r>
    <r>
      <rPr>
        <sz val="11"/>
        <color theme="1"/>
        <rFont val="Aptos Narrow"/>
        <family val="2"/>
        <scheme val="minor"/>
      </rPr>
      <t>:</t>
    </r>
  </si>
  <si>
    <r>
      <t>K</t>
    </r>
    <r>
      <rPr>
        <sz val="8"/>
        <color theme="1"/>
        <rFont val="Aptos Narrow"/>
        <family val="2"/>
        <scheme val="minor"/>
      </rPr>
      <t>p1</t>
    </r>
    <r>
      <rPr>
        <sz val="11"/>
        <color theme="1"/>
        <rFont val="Aptos Narrow"/>
        <family val="2"/>
        <scheme val="minor"/>
      </rPr>
      <t>: Peakfaktor ved beregning af udvendig vindlast:</t>
    </r>
  </si>
  <si>
    <r>
      <t>Kp2: Peakfaktor ved beregning af indvendig vindlast:
k</t>
    </r>
    <r>
      <rPr>
        <sz val="9"/>
        <color theme="1"/>
        <rFont val="Aptos Narrow"/>
        <family val="2"/>
        <scheme val="minor"/>
      </rPr>
      <t>p1: 1,5 = uden dom. åbning - 3,5 = med dom. åbning:</t>
    </r>
  </si>
  <si>
    <r>
      <t>q</t>
    </r>
    <r>
      <rPr>
        <sz val="8"/>
        <rFont val="Arial"/>
        <family val="2"/>
      </rPr>
      <t>max</t>
    </r>
    <r>
      <rPr>
        <sz val="11"/>
        <rFont val="Arial"/>
        <family val="2"/>
      </rPr>
      <t>(z)</t>
    </r>
    <r>
      <rPr>
        <sz val="8"/>
        <rFont val="Arial"/>
        <family val="2"/>
      </rPr>
      <t xml:space="preserve"> = </t>
    </r>
    <r>
      <rPr>
        <sz val="11"/>
        <rFont val="Arial"/>
        <family val="2"/>
      </rPr>
      <t>(1+2</t>
    </r>
    <r>
      <rPr>
        <sz val="8"/>
        <rFont val="Arial"/>
        <family val="2"/>
      </rPr>
      <t>*</t>
    </r>
    <r>
      <rPr>
        <sz val="11"/>
        <rFont val="Arial"/>
        <family val="2"/>
      </rPr>
      <t>k</t>
    </r>
    <r>
      <rPr>
        <sz val="8"/>
        <rFont val="Arial"/>
        <family val="2"/>
      </rPr>
      <t>p1*</t>
    </r>
    <r>
      <rPr>
        <sz val="11"/>
        <rFont val="Arial"/>
        <family val="2"/>
      </rPr>
      <t>I</t>
    </r>
    <r>
      <rPr>
        <sz val="8"/>
        <rFont val="Arial"/>
        <family val="2"/>
      </rPr>
      <t>v</t>
    </r>
    <r>
      <rPr>
        <sz val="11"/>
        <rFont val="Arial"/>
        <family val="2"/>
      </rPr>
      <t>(z))</t>
    </r>
    <r>
      <rPr>
        <sz val="8"/>
        <rFont val="Arial"/>
        <family val="2"/>
      </rPr>
      <t>*</t>
    </r>
    <r>
      <rPr>
        <sz val="11"/>
        <rFont val="Arial"/>
        <family val="2"/>
      </rPr>
      <t>q</t>
    </r>
    <r>
      <rPr>
        <sz val="8"/>
        <rFont val="Arial"/>
        <family val="2"/>
      </rPr>
      <t>m</t>
    </r>
    <r>
      <rPr>
        <sz val="11"/>
        <rFont val="Arial"/>
        <family val="2"/>
      </rPr>
      <t>(z)</t>
    </r>
    <r>
      <rPr>
        <sz val="8"/>
        <rFont val="Arial"/>
        <family val="2"/>
      </rPr>
      <t xml:space="preserve"> </t>
    </r>
  </si>
  <si>
    <t>Karakteristisk maks. vindtryk ved udv. vindlast:</t>
  </si>
  <si>
    <t>Karakteristisk maks. vindtryk ved indv. vindlast:</t>
  </si>
  <si>
    <r>
      <t>q</t>
    </r>
    <r>
      <rPr>
        <sz val="8"/>
        <rFont val="Arial"/>
        <family val="2"/>
      </rPr>
      <t>max</t>
    </r>
    <r>
      <rPr>
        <sz val="11"/>
        <rFont val="Arial"/>
        <family val="2"/>
      </rPr>
      <t>(z)</t>
    </r>
    <r>
      <rPr>
        <sz val="8"/>
        <rFont val="Arial"/>
        <family val="2"/>
      </rPr>
      <t xml:space="preserve"> = </t>
    </r>
    <r>
      <rPr>
        <sz val="11"/>
        <rFont val="Arial"/>
        <family val="2"/>
      </rPr>
      <t>(1+2</t>
    </r>
    <r>
      <rPr>
        <sz val="8"/>
        <rFont val="Arial"/>
        <family val="2"/>
      </rPr>
      <t>*</t>
    </r>
    <r>
      <rPr>
        <sz val="11"/>
        <rFont val="Arial"/>
        <family val="2"/>
      </rPr>
      <t>k</t>
    </r>
    <r>
      <rPr>
        <sz val="8"/>
        <rFont val="Arial"/>
        <family val="2"/>
      </rPr>
      <t>p2*</t>
    </r>
    <r>
      <rPr>
        <sz val="11"/>
        <rFont val="Arial"/>
        <family val="2"/>
      </rPr>
      <t>I</t>
    </r>
    <r>
      <rPr>
        <sz val="8"/>
        <rFont val="Arial"/>
        <family val="2"/>
      </rPr>
      <t>v</t>
    </r>
    <r>
      <rPr>
        <sz val="11"/>
        <rFont val="Arial"/>
        <family val="2"/>
      </rPr>
      <t>(z))</t>
    </r>
    <r>
      <rPr>
        <sz val="8"/>
        <rFont val="Arial"/>
        <family val="2"/>
      </rPr>
      <t>*</t>
    </r>
    <r>
      <rPr>
        <sz val="11"/>
        <rFont val="Arial"/>
        <family val="2"/>
      </rPr>
      <t>q</t>
    </r>
    <r>
      <rPr>
        <sz val="8"/>
        <rFont val="Arial"/>
        <family val="2"/>
      </rPr>
      <t>m</t>
    </r>
    <r>
      <rPr>
        <sz val="11"/>
        <rFont val="Arial"/>
        <family val="2"/>
      </rPr>
      <t>(z)</t>
    </r>
    <r>
      <rPr>
        <sz val="8"/>
        <rFont val="Arial"/>
        <family val="2"/>
      </rPr>
      <t xml:space="preserve"> </t>
    </r>
  </si>
  <si>
    <r>
      <t>Vind = 0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 xml:space="preserve">. </t>
    </r>
    <r>
      <rPr>
        <sz val="11"/>
        <color theme="1"/>
        <rFont val="Aptos Narrow"/>
        <family val="2"/>
        <scheme val="minor"/>
      </rPr>
      <t>Der interpoleres lineært for at finde formfaktorerne for zonerne A - E.</t>
    </r>
  </si>
  <si>
    <r>
      <t>Vind = 90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 xml:space="preserve">. </t>
    </r>
    <r>
      <rPr>
        <sz val="11"/>
        <color theme="1"/>
        <rFont val="Aptos Narrow"/>
        <family val="2"/>
        <scheme val="minor"/>
      </rPr>
      <t>Der interpoleres lineært for at finde formfaktorerne for zonerne A - E.</t>
    </r>
  </si>
  <si>
    <r>
      <t>I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(z)</t>
    </r>
    <r>
      <rPr>
        <sz val="8"/>
        <rFont val="Arial"/>
        <family val="2"/>
      </rPr>
      <t xml:space="preserve"> = </t>
    </r>
    <r>
      <rPr>
        <sz val="11"/>
        <rFont val="Arial"/>
        <family val="2"/>
      </rPr>
      <t>(1/c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>)</t>
    </r>
    <r>
      <rPr>
        <sz val="8"/>
        <rFont val="Arial"/>
        <family val="2"/>
      </rPr>
      <t>*</t>
    </r>
    <r>
      <rPr>
        <sz val="11"/>
        <rFont val="Arial"/>
        <family val="2"/>
      </rPr>
      <t>(1/ln(z/z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>))</t>
    </r>
    <r>
      <rPr>
        <sz val="8"/>
        <rFont val="Arial"/>
        <family val="2"/>
      </rPr>
      <t xml:space="preserve"> </t>
    </r>
  </si>
  <si>
    <t>Vind på saddeltag:</t>
  </si>
  <si>
    <r>
      <t>G</t>
    </r>
    <r>
      <rPr>
        <sz val="8"/>
        <color theme="1"/>
        <rFont val="Aptos Narrow"/>
        <family val="2"/>
        <scheme val="minor"/>
      </rPr>
      <t>længde</t>
    </r>
    <r>
      <rPr>
        <sz val="11"/>
        <color theme="1"/>
        <rFont val="Aptos Narrow"/>
        <family val="2"/>
        <scheme val="minor"/>
      </rPr>
      <t>=</t>
    </r>
  </si>
  <si>
    <r>
      <t>J</t>
    </r>
    <r>
      <rPr>
        <sz val="8"/>
        <color theme="1"/>
        <rFont val="Aptos Narrow"/>
        <family val="2"/>
        <scheme val="minor"/>
      </rPr>
      <t>længde</t>
    </r>
    <r>
      <rPr>
        <sz val="11"/>
        <color theme="1"/>
        <rFont val="Aptos Narrow"/>
        <family val="2"/>
        <scheme val="minor"/>
      </rPr>
      <t>=</t>
    </r>
  </si>
  <si>
    <r>
      <t>H</t>
    </r>
    <r>
      <rPr>
        <sz val="8"/>
        <color theme="1"/>
        <rFont val="Aptos Narrow"/>
        <family val="2"/>
        <scheme val="minor"/>
      </rPr>
      <t>længde</t>
    </r>
    <r>
      <rPr>
        <sz val="11"/>
        <color theme="1"/>
        <rFont val="Aptos Narrow"/>
        <family val="2"/>
        <scheme val="minor"/>
      </rPr>
      <t>=</t>
    </r>
  </si>
  <si>
    <r>
      <t>I</t>
    </r>
    <r>
      <rPr>
        <sz val="8"/>
        <color theme="1"/>
        <rFont val="Aptos Narrow"/>
        <family val="2"/>
        <scheme val="minor"/>
      </rPr>
      <t>længde</t>
    </r>
    <r>
      <rPr>
        <sz val="11"/>
        <color theme="1"/>
        <rFont val="Aptos Narrow"/>
        <family val="2"/>
        <scheme val="minor"/>
      </rPr>
      <t>=</t>
    </r>
  </si>
  <si>
    <r>
      <t>Vind = 0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 xml:space="preserve">. </t>
    </r>
    <r>
      <rPr>
        <sz val="11"/>
        <color theme="1"/>
        <rFont val="Aptos Narrow"/>
        <family val="2"/>
        <scheme val="minor"/>
      </rPr>
      <t>Der interpoleres lineært for at finde formfaktorerne for zonerne F - J.</t>
    </r>
  </si>
  <si>
    <t>Beregning af vind på saddeltag</t>
  </si>
  <si>
    <t>Dybde:</t>
  </si>
  <si>
    <t>Bredde:</t>
  </si>
  <si>
    <r>
      <t>Overtryk (c</t>
    </r>
    <r>
      <rPr>
        <sz val="8"/>
        <color theme="1"/>
        <rFont val="Aptos Narrow"/>
        <family val="2"/>
        <scheme val="minor"/>
      </rPr>
      <t>pi</t>
    </r>
    <r>
      <rPr>
        <sz val="11"/>
        <color theme="1"/>
        <rFont val="Aptos Narrow"/>
        <family val="2"/>
        <scheme val="minor"/>
      </rPr>
      <t>):</t>
    </r>
  </si>
  <si>
    <r>
      <t xml:space="preserve"> Skillevægge regnes for en last svarende til en trykforskel med (c</t>
    </r>
    <r>
      <rPr>
        <sz val="8"/>
        <color theme="1"/>
        <rFont val="Aptos Narrow"/>
        <family val="2"/>
        <scheme val="minor"/>
      </rPr>
      <t>pi</t>
    </r>
    <r>
      <rPr>
        <sz val="11"/>
        <color theme="1"/>
        <rFont val="Aptos Narrow"/>
        <family val="2"/>
        <scheme val="minor"/>
      </rPr>
      <t>):</t>
    </r>
  </si>
  <si>
    <r>
      <t>Undertryk (c</t>
    </r>
    <r>
      <rPr>
        <sz val="8"/>
        <color theme="1"/>
        <rFont val="Aptos Narrow"/>
        <family val="2"/>
        <scheme val="minor"/>
      </rPr>
      <t>pi</t>
    </r>
    <r>
      <rPr>
        <sz val="11"/>
        <color theme="1"/>
        <rFont val="Aptos Narrow"/>
        <family val="2"/>
        <scheme val="minor"/>
      </rPr>
      <t>):</t>
    </r>
  </si>
  <si>
    <t>=</t>
  </si>
  <si>
    <r>
      <t>[c</t>
    </r>
    <r>
      <rPr>
        <sz val="8"/>
        <color theme="1"/>
        <rFont val="Aptos Narrow"/>
        <family val="2"/>
        <scheme val="minor"/>
      </rPr>
      <t>pi</t>
    </r>
    <r>
      <rPr>
        <sz val="11"/>
        <color theme="1"/>
        <rFont val="Aptos Narrow"/>
        <family val="2"/>
        <scheme val="minor"/>
      </rPr>
      <t>]</t>
    </r>
  </si>
  <si>
    <t>Indvendig vindlast: (formfaktorer jf. DS/EN 1991-1-4, punkt 7.2.9)</t>
  </si>
  <si>
    <r>
      <t>F</t>
    </r>
    <r>
      <rPr>
        <sz val="8"/>
        <color theme="1"/>
        <rFont val="Aptos Narrow"/>
        <family val="2"/>
        <scheme val="minor"/>
      </rPr>
      <t>dybde</t>
    </r>
    <r>
      <rPr>
        <sz val="11"/>
        <color theme="1"/>
        <rFont val="Aptos Narrow"/>
        <family val="2"/>
        <scheme val="minor"/>
      </rPr>
      <t>=</t>
    </r>
  </si>
  <si>
    <r>
      <t>G</t>
    </r>
    <r>
      <rPr>
        <sz val="8"/>
        <color theme="1"/>
        <rFont val="Aptos Narrow"/>
        <family val="2"/>
        <scheme val="minor"/>
      </rPr>
      <t>dybde</t>
    </r>
    <r>
      <rPr>
        <sz val="11"/>
        <color theme="1"/>
        <rFont val="Aptos Narrow"/>
        <family val="2"/>
        <scheme val="minor"/>
      </rPr>
      <t>=</t>
    </r>
  </si>
  <si>
    <r>
      <t>H</t>
    </r>
    <r>
      <rPr>
        <sz val="8"/>
        <color theme="1"/>
        <rFont val="Aptos Narrow"/>
        <family val="2"/>
        <scheme val="minor"/>
      </rPr>
      <t>dybde</t>
    </r>
    <r>
      <rPr>
        <sz val="11"/>
        <color theme="1"/>
        <rFont val="Aptos Narrow"/>
        <family val="2"/>
        <scheme val="minor"/>
      </rPr>
      <t>=</t>
    </r>
  </si>
  <si>
    <r>
      <t>I</t>
    </r>
    <r>
      <rPr>
        <sz val="8"/>
        <color theme="1"/>
        <rFont val="Aptos Narrow"/>
        <family val="2"/>
        <scheme val="minor"/>
      </rPr>
      <t>dybde</t>
    </r>
    <r>
      <rPr>
        <sz val="11"/>
        <color theme="1"/>
        <rFont val="Aptos Narrow"/>
        <family val="2"/>
        <scheme val="minor"/>
      </rPr>
      <t>=</t>
    </r>
  </si>
  <si>
    <r>
      <t>J</t>
    </r>
    <r>
      <rPr>
        <sz val="8"/>
        <color theme="1"/>
        <rFont val="Aptos Narrow"/>
        <family val="2"/>
        <scheme val="minor"/>
      </rPr>
      <t>dybde</t>
    </r>
    <r>
      <rPr>
        <sz val="11"/>
        <color theme="1"/>
        <rFont val="Aptos Narrow"/>
        <family val="2"/>
        <scheme val="minor"/>
      </rPr>
      <t>=</t>
    </r>
  </si>
  <si>
    <r>
      <t>Hældnings-
vinkel [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>]</t>
    </r>
  </si>
  <si>
    <r>
      <t>Hældning [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>]</t>
    </r>
  </si>
  <si>
    <t>Hvad har jeg skrevet forkert i formlen? Hvorfor kommer der ikke en værdi?</t>
  </si>
  <si>
    <r>
      <t>Hvorfor virker betingen formattering ikke? Den skal gerne markere 15</t>
    </r>
    <r>
      <rPr>
        <sz val="11"/>
        <color theme="1"/>
        <rFont val="Calibri"/>
        <family val="2"/>
      </rPr>
      <t>°</t>
    </r>
    <r>
      <rPr>
        <sz val="11"/>
        <color theme="1"/>
        <rFont val="Aptos Narrow"/>
        <family val="2"/>
      </rPr>
      <t xml:space="preserve"> taghældning?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</si>
</sst>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 x14ac:knownFonts="1"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u val="double"/>
      <sz val="11"/>
      <color theme="1"/>
      <name val="Aptos Narrow"/>
      <family val="2"/>
      <scheme val="minor"/>
    </font>
    <font>
      <vertAlign val="subscript"/>
      <sz val="11"/>
      <name val="Arial"/>
      <family val="2"/>
    </font>
    <font>
      <b/>
      <u val="double"/>
      <sz val="11"/>
      <name val="Aptos Narrow"/>
      <family val="2"/>
      <scheme val="minor"/>
    </font>
    <font>
      <u val="double"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7">
    <xf numFmtId="0" fontId="0" fillId="0" borderId="0" xfId="0"/>
    <xf numFmtId="0" fontId="0" fillId="4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vertical="center"/>
    </xf>
    <xf numFmtId="0" fontId="0" fillId="0" borderId="5" xfId="0" applyBorder="1"/>
    <xf numFmtId="1" fontId="0" fillId="4" borderId="0" xfId="0" applyNumberFormat="1" applyFill="1" applyAlignment="1">
      <alignment horizontal="center"/>
    </xf>
    <xf numFmtId="0" fontId="4" fillId="0" borderId="0" xfId="0" applyFont="1"/>
    <xf numFmtId="165" fontId="0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/>
    </xf>
    <xf numFmtId="164" fontId="0" fillId="3" borderId="1" xfId="0" applyNumberFormat="1" applyFill="1" applyBorder="1"/>
    <xf numFmtId="0" fontId="0" fillId="2" borderId="13" xfId="0" applyFill="1" applyBorder="1"/>
    <xf numFmtId="0" fontId="0" fillId="0" borderId="12" xfId="0" applyBorder="1"/>
    <xf numFmtId="2" fontId="0" fillId="3" borderId="12" xfId="0" applyNumberForma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wrapText="1"/>
    </xf>
    <xf numFmtId="164" fontId="0" fillId="3" borderId="12" xfId="0" applyNumberFormat="1" applyFill="1" applyBorder="1"/>
    <xf numFmtId="0" fontId="0" fillId="2" borderId="1" xfId="0" applyFill="1" applyBorder="1" applyAlignment="1">
      <alignment wrapText="1"/>
    </xf>
    <xf numFmtId="2" fontId="0" fillId="4" borderId="0" xfId="0" applyNumberFormat="1" applyFill="1"/>
    <xf numFmtId="0" fontId="7" fillId="0" borderId="0" xfId="0" applyFont="1"/>
    <xf numFmtId="2" fontId="0" fillId="3" borderId="12" xfId="0" applyNumberFormat="1" applyFill="1" applyBorder="1"/>
    <xf numFmtId="2" fontId="10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8" fillId="0" borderId="1" xfId="0" applyFont="1" applyBorder="1"/>
    <xf numFmtId="0" fontId="8" fillId="4" borderId="0" xfId="0" applyFont="1" applyFill="1"/>
    <xf numFmtId="2" fontId="12" fillId="3" borderId="1" xfId="0" applyNumberFormat="1" applyFont="1" applyFill="1" applyBorder="1"/>
    <xf numFmtId="164" fontId="13" fillId="3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5</xdr:row>
      <xdr:rowOff>0</xdr:rowOff>
    </xdr:from>
    <xdr:to>
      <xdr:col>16</xdr:col>
      <xdr:colOff>284388</xdr:colOff>
      <xdr:row>13</xdr:row>
      <xdr:rowOff>12325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A8BF691-2764-490C-AABD-5DAED4D0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50" y="1228725"/>
          <a:ext cx="1865538" cy="1536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47626</xdr:colOff>
      <xdr:row>45</xdr:row>
      <xdr:rowOff>22685</xdr:rowOff>
    </xdr:from>
    <xdr:to>
      <xdr:col>10</xdr:col>
      <xdr:colOff>247650</xdr:colOff>
      <xdr:row>55</xdr:row>
      <xdr:rowOff>180975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CC303B9-2EAB-40C3-BE3C-37C92EB6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1" y="8776160"/>
          <a:ext cx="3743324" cy="206329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28575</xdr:colOff>
      <xdr:row>28</xdr:row>
      <xdr:rowOff>9526</xdr:rowOff>
    </xdr:from>
    <xdr:to>
      <xdr:col>7</xdr:col>
      <xdr:colOff>219075</xdr:colOff>
      <xdr:row>30</xdr:row>
      <xdr:rowOff>44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52329E9-581A-FF3D-9CD5-A1E6ED00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153026"/>
          <a:ext cx="1905000" cy="37151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19049</xdr:colOff>
      <xdr:row>22</xdr:row>
      <xdr:rowOff>0</xdr:rowOff>
    </xdr:from>
    <xdr:to>
      <xdr:col>7</xdr:col>
      <xdr:colOff>228600</xdr:colOff>
      <xdr:row>23</xdr:row>
      <xdr:rowOff>171491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B5F136-720C-7BE7-6074-187E9C3F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4000500"/>
          <a:ext cx="1924051" cy="36199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9525</xdr:colOff>
      <xdr:row>25</xdr:row>
      <xdr:rowOff>9525</xdr:rowOff>
    </xdr:from>
    <xdr:to>
      <xdr:col>7</xdr:col>
      <xdr:colOff>228600</xdr:colOff>
      <xdr:row>26</xdr:row>
      <xdr:rowOff>171483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A9B203F5-5EDF-9F26-F751-3332B868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4581525"/>
          <a:ext cx="1933575" cy="35245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19050</xdr:colOff>
      <xdr:row>66</xdr:row>
      <xdr:rowOff>180975</xdr:rowOff>
    </xdr:from>
    <xdr:to>
      <xdr:col>10</xdr:col>
      <xdr:colOff>279984</xdr:colOff>
      <xdr:row>78</xdr:row>
      <xdr:rowOff>22663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E9E9ED9-99AC-92EE-DB49-8B606013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1725" y="12982575"/>
          <a:ext cx="3804234" cy="2127688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9</xdr:row>
      <xdr:rowOff>19050</xdr:rowOff>
    </xdr:from>
    <xdr:to>
      <xdr:col>11</xdr:col>
      <xdr:colOff>228600</xdr:colOff>
      <xdr:row>15</xdr:row>
      <xdr:rowOff>180976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ABB9D0F2-4996-73AC-E0F0-F02A12A3C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924050"/>
          <a:ext cx="1562100" cy="130492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5</xdr:row>
      <xdr:rowOff>28574</xdr:rowOff>
    </xdr:from>
    <xdr:ext cx="1752600" cy="1285876"/>
    <xdr:pic>
      <xdr:nvPicPr>
        <xdr:cNvPr id="2" name="Billede 1">
          <a:extLst>
            <a:ext uri="{FF2B5EF4-FFF2-40B4-BE49-F238E27FC236}">
              <a16:creationId xmlns:a16="http://schemas.microsoft.com/office/drawing/2014/main" id="{5F94D37C-5AF8-4A26-9163-46FEC580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981074"/>
          <a:ext cx="1752600" cy="128587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oneCellAnchor>
  <xdr:oneCellAnchor>
    <xdr:from>
      <xdr:col>4</xdr:col>
      <xdr:colOff>57150</xdr:colOff>
      <xdr:row>5</xdr:row>
      <xdr:rowOff>28576</xdr:rowOff>
    </xdr:from>
    <xdr:ext cx="3743325" cy="2047874"/>
    <xdr:pic>
      <xdr:nvPicPr>
        <xdr:cNvPr id="3" name="Billede 2">
          <a:extLst>
            <a:ext uri="{FF2B5EF4-FFF2-40B4-BE49-F238E27FC236}">
              <a16:creationId xmlns:a16="http://schemas.microsoft.com/office/drawing/2014/main" id="{0AB8D2DD-B6E8-4890-9381-7731744A1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981076"/>
          <a:ext cx="3743325" cy="2047874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oneCellAnchor>
  <xdr:twoCellAnchor>
    <xdr:from>
      <xdr:col>5</xdr:col>
      <xdr:colOff>533400</xdr:colOff>
      <xdr:row>33</xdr:row>
      <xdr:rowOff>0</xdr:rowOff>
    </xdr:from>
    <xdr:to>
      <xdr:col>9</xdr:col>
      <xdr:colOff>57150</xdr:colOff>
      <xdr:row>42</xdr:row>
      <xdr:rowOff>9525</xdr:rowOff>
    </xdr:to>
    <xdr:cxnSp macro="">
      <xdr:nvCxnSpPr>
        <xdr:cNvPr id="5" name="Lige pilforbindelse 4">
          <a:extLst>
            <a:ext uri="{FF2B5EF4-FFF2-40B4-BE49-F238E27FC236}">
              <a16:creationId xmlns:a16="http://schemas.microsoft.com/office/drawing/2014/main" id="{885FA0ED-B1C5-5A8A-0E10-739A2155E0CB}"/>
            </a:ext>
          </a:extLst>
        </xdr:cNvPr>
        <xdr:cNvCxnSpPr/>
      </xdr:nvCxnSpPr>
      <xdr:spPr>
        <a:xfrm flipH="1">
          <a:off x="3790950" y="6286500"/>
          <a:ext cx="1962150" cy="17240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26</xdr:row>
      <xdr:rowOff>76200</xdr:rowOff>
    </xdr:from>
    <xdr:to>
      <xdr:col>9</xdr:col>
      <xdr:colOff>9525</xdr:colOff>
      <xdr:row>30</xdr:row>
      <xdr:rowOff>180975</xdr:rowOff>
    </xdr:to>
    <xdr:cxnSp macro="">
      <xdr:nvCxnSpPr>
        <xdr:cNvPr id="9" name="Lige pilforbindelse 8">
          <a:extLst>
            <a:ext uri="{FF2B5EF4-FFF2-40B4-BE49-F238E27FC236}">
              <a16:creationId xmlns:a16="http://schemas.microsoft.com/office/drawing/2014/main" id="{F32C6716-2387-FF80-E8C8-CD6097C33E0D}"/>
            </a:ext>
          </a:extLst>
        </xdr:cNvPr>
        <xdr:cNvCxnSpPr/>
      </xdr:nvCxnSpPr>
      <xdr:spPr>
        <a:xfrm flipH="1">
          <a:off x="1162050" y="5029200"/>
          <a:ext cx="4543425" cy="866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24</xdr:row>
      <xdr:rowOff>85725</xdr:rowOff>
    </xdr:from>
    <xdr:to>
      <xdr:col>9</xdr:col>
      <xdr:colOff>9525</xdr:colOff>
      <xdr:row>26</xdr:row>
      <xdr:rowOff>57150</xdr:rowOff>
    </xdr:to>
    <xdr:cxnSp macro="">
      <xdr:nvCxnSpPr>
        <xdr:cNvPr id="12" name="Lige pilforbindelse 11">
          <a:extLst>
            <a:ext uri="{FF2B5EF4-FFF2-40B4-BE49-F238E27FC236}">
              <a16:creationId xmlns:a16="http://schemas.microsoft.com/office/drawing/2014/main" id="{2836A6D1-D1BA-5C98-2202-36DA9D8879DB}"/>
            </a:ext>
          </a:extLst>
        </xdr:cNvPr>
        <xdr:cNvCxnSpPr/>
      </xdr:nvCxnSpPr>
      <xdr:spPr>
        <a:xfrm flipH="1" flipV="1">
          <a:off x="2190750" y="4657725"/>
          <a:ext cx="3514725" cy="352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257175</xdr:colOff>
      <xdr:row>6</xdr:row>
      <xdr:rowOff>152400</xdr:rowOff>
    </xdr:from>
    <xdr:to>
      <xdr:col>26</xdr:col>
      <xdr:colOff>104775</xdr:colOff>
      <xdr:row>21</xdr:row>
      <xdr:rowOff>89262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EE103488-C676-F29F-679C-26274A8E6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1533525"/>
          <a:ext cx="7772400" cy="2794362"/>
        </a:xfrm>
        <a:prstGeom prst="rect">
          <a:avLst/>
        </a:prstGeom>
      </xdr:spPr>
    </xdr:pic>
    <xdr:clientData/>
  </xdr:twoCellAnchor>
  <xdr:twoCellAnchor>
    <xdr:from>
      <xdr:col>17</xdr:col>
      <xdr:colOff>142875</xdr:colOff>
      <xdr:row>22</xdr:row>
      <xdr:rowOff>28575</xdr:rowOff>
    </xdr:from>
    <xdr:to>
      <xdr:col>17</xdr:col>
      <xdr:colOff>352425</xdr:colOff>
      <xdr:row>26</xdr:row>
      <xdr:rowOff>95250</xdr:rowOff>
    </xdr:to>
    <xdr:cxnSp macro="">
      <xdr:nvCxnSpPr>
        <xdr:cNvPr id="17" name="Lige pilforbindelse 16">
          <a:extLst>
            <a:ext uri="{FF2B5EF4-FFF2-40B4-BE49-F238E27FC236}">
              <a16:creationId xmlns:a16="http://schemas.microsoft.com/office/drawing/2014/main" id="{E6FF2180-51D9-7E36-498C-11C8778701CA}"/>
            </a:ext>
          </a:extLst>
        </xdr:cNvPr>
        <xdr:cNvCxnSpPr/>
      </xdr:nvCxnSpPr>
      <xdr:spPr>
        <a:xfrm flipV="1">
          <a:off x="10715625" y="4219575"/>
          <a:ext cx="209550" cy="8286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F073-9143-4383-8884-BFA9502A1A11}">
  <sheetPr>
    <tabColor theme="1"/>
  </sheetPr>
  <dimension ref="A1:R105"/>
  <sheetViews>
    <sheetView workbookViewId="0">
      <selection activeCell="G15" sqref="G15"/>
    </sheetView>
  </sheetViews>
  <sheetFormatPr defaultRowHeight="15" x14ac:dyDescent="0.25"/>
  <cols>
    <col min="1" max="1" width="3" customWidth="1"/>
    <col min="2" max="2" width="9.140625" hidden="1" customWidth="1"/>
    <col min="3" max="3" width="11.140625" customWidth="1"/>
    <col min="4" max="4" width="12" customWidth="1"/>
    <col min="6" max="6" width="14.7109375" customWidth="1"/>
    <col min="7" max="7" width="11" customWidth="1"/>
    <col min="8" max="8" width="9.140625" customWidth="1"/>
    <col min="11" max="11" width="20.42578125" customWidth="1"/>
    <col min="14" max="14" width="12.42578125" bestFit="1" customWidth="1"/>
  </cols>
  <sheetData>
    <row r="1" spans="1:14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4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4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4" ht="15" customHeight="1" x14ac:dyDescent="0.25">
      <c r="A4" s="48" t="s">
        <v>2</v>
      </c>
      <c r="B4" s="12"/>
      <c r="C4" s="59" t="s">
        <v>1</v>
      </c>
      <c r="D4" s="59"/>
      <c r="E4" s="59"/>
      <c r="F4" s="59"/>
      <c r="G4" s="59"/>
      <c r="H4" s="59"/>
      <c r="I4" s="59"/>
      <c r="J4" s="59"/>
      <c r="K4" s="59"/>
    </row>
    <row r="5" spans="1:14" ht="15" customHeight="1" x14ac:dyDescent="0.25">
      <c r="A5" s="48"/>
      <c r="B5" s="12"/>
      <c r="C5" s="59"/>
      <c r="D5" s="59"/>
      <c r="E5" s="59"/>
      <c r="F5" s="59"/>
      <c r="G5" s="59"/>
      <c r="H5" s="59"/>
      <c r="I5" s="59"/>
      <c r="J5" s="59"/>
      <c r="K5" s="59"/>
    </row>
    <row r="7" spans="1:14" x14ac:dyDescent="0.25">
      <c r="A7" s="4">
        <v>1</v>
      </c>
      <c r="B7" s="75">
        <v>1</v>
      </c>
      <c r="C7" s="42" t="s">
        <v>87</v>
      </c>
      <c r="D7" s="42"/>
      <c r="E7" s="11">
        <v>10</v>
      </c>
      <c r="F7" s="5" t="s">
        <v>78</v>
      </c>
      <c r="I7" s="7" t="s">
        <v>106</v>
      </c>
      <c r="J7" s="11">
        <v>10</v>
      </c>
      <c r="L7" s="48" t="s">
        <v>4</v>
      </c>
      <c r="M7" s="48"/>
      <c r="N7" s="48"/>
    </row>
    <row r="8" spans="1:14" x14ac:dyDescent="0.25">
      <c r="A8" s="4">
        <v>2</v>
      </c>
      <c r="B8" s="75">
        <v>2</v>
      </c>
      <c r="L8" s="5" t="s">
        <v>5</v>
      </c>
      <c r="M8" s="8">
        <v>24</v>
      </c>
      <c r="N8" s="7" t="s">
        <v>6</v>
      </c>
    </row>
    <row r="9" spans="1:14" x14ac:dyDescent="0.25">
      <c r="A9" s="4">
        <v>3</v>
      </c>
      <c r="B9" s="75">
        <v>3</v>
      </c>
      <c r="C9" s="42" t="s">
        <v>43</v>
      </c>
      <c r="D9" s="42"/>
      <c r="E9" s="23">
        <v>1</v>
      </c>
      <c r="F9" s="42" t="s">
        <v>44</v>
      </c>
      <c r="G9" s="42"/>
      <c r="H9" s="42"/>
      <c r="I9" s="5" t="s">
        <v>105</v>
      </c>
      <c r="J9" s="11">
        <v>15</v>
      </c>
      <c r="L9" s="5" t="s">
        <v>8</v>
      </c>
      <c r="M9" s="8">
        <v>27</v>
      </c>
      <c r="N9" s="7" t="s">
        <v>6</v>
      </c>
    </row>
    <row r="10" spans="1:14" x14ac:dyDescent="0.25">
      <c r="A10" s="75"/>
      <c r="J10" s="1"/>
    </row>
    <row r="11" spans="1:14" x14ac:dyDescent="0.25">
      <c r="A11" s="4">
        <v>4</v>
      </c>
      <c r="C11" s="42" t="s">
        <v>7</v>
      </c>
      <c r="D11" s="42"/>
      <c r="E11" s="11">
        <v>27</v>
      </c>
      <c r="F11" s="5" t="s">
        <v>6</v>
      </c>
      <c r="I11" s="5" t="s">
        <v>45</v>
      </c>
      <c r="J11" s="11">
        <v>7.3</v>
      </c>
    </row>
    <row r="12" spans="1:14" x14ac:dyDescent="0.25">
      <c r="A12" s="75"/>
      <c r="J12" s="1"/>
    </row>
    <row r="13" spans="1:14" x14ac:dyDescent="0.25">
      <c r="A13" s="4">
        <v>5</v>
      </c>
      <c r="C13" s="53" t="s">
        <v>80</v>
      </c>
      <c r="D13" s="53"/>
      <c r="E13" s="24">
        <v>2</v>
      </c>
    </row>
    <row r="14" spans="1:14" x14ac:dyDescent="0.25">
      <c r="A14" s="4">
        <v>6</v>
      </c>
      <c r="C14" s="46" t="s">
        <v>81</v>
      </c>
      <c r="D14" s="54"/>
      <c r="E14" s="54"/>
      <c r="F14" s="47"/>
    </row>
    <row r="15" spans="1:14" x14ac:dyDescent="0.25">
      <c r="A15" s="4">
        <v>7</v>
      </c>
      <c r="D15" s="25" t="str">
        <f>IF(E13=1,"Vand",IF(E13=2,"Land",IF(E13=3,"Forstad",IF(E13=4,"By",))))</f>
        <v>Land</v>
      </c>
      <c r="E15" s="26" t="str">
        <f>IF(E13=1,"0,01",IF(E13=2,"0,05",IF(E13=3,"0,3",IF(E13=4,"1,0",))))</f>
        <v>0,05</v>
      </c>
      <c r="F15" s="25" t="s">
        <v>82</v>
      </c>
    </row>
    <row r="16" spans="1:14" x14ac:dyDescent="0.25">
      <c r="A16" s="75"/>
    </row>
    <row r="17" spans="1:18" x14ac:dyDescent="0.25">
      <c r="A17" s="4">
        <v>8</v>
      </c>
      <c r="C17" s="48" t="s">
        <v>10</v>
      </c>
      <c r="D17" s="48"/>
      <c r="E17" s="4" t="s">
        <v>11</v>
      </c>
      <c r="F17" s="4" t="s">
        <v>12</v>
      </c>
      <c r="G17" s="4" t="s">
        <v>13</v>
      </c>
      <c r="H17" s="4" t="s">
        <v>46</v>
      </c>
      <c r="J17" s="56" t="s">
        <v>83</v>
      </c>
      <c r="K17" s="56"/>
      <c r="L17" s="56"/>
      <c r="M17" s="56"/>
      <c r="O17" s="4" t="s">
        <v>88</v>
      </c>
      <c r="P17" s="27"/>
      <c r="Q17" s="1"/>
      <c r="R17" s="1"/>
    </row>
    <row r="18" spans="1:18" ht="15" customHeight="1" x14ac:dyDescent="0.25">
      <c r="A18" s="4">
        <v>9</v>
      </c>
      <c r="C18" s="9">
        <v>1</v>
      </c>
      <c r="D18" s="9" t="s">
        <v>14</v>
      </c>
      <c r="E18" s="10">
        <v>0.01</v>
      </c>
      <c r="F18" s="9">
        <v>1</v>
      </c>
      <c r="G18" s="9">
        <v>200</v>
      </c>
      <c r="H18" s="9" t="s">
        <v>9</v>
      </c>
      <c r="J18" s="57" t="s">
        <v>84</v>
      </c>
      <c r="K18" s="57"/>
      <c r="L18" s="31">
        <v>0</v>
      </c>
      <c r="M18" s="28" t="s">
        <v>9</v>
      </c>
      <c r="O18" s="5" t="e">
        <f>IF((L18/L19)&lt;0.3*(L18/L19),1.6)</f>
        <v>#DIV/0!</v>
      </c>
    </row>
    <row r="19" spans="1:18" ht="15" customHeight="1" x14ac:dyDescent="0.25">
      <c r="A19" s="4">
        <v>10</v>
      </c>
      <c r="C19" s="9">
        <v>2</v>
      </c>
      <c r="D19" s="9" t="s">
        <v>15</v>
      </c>
      <c r="E19" s="10">
        <v>0.05</v>
      </c>
      <c r="F19" s="9">
        <v>2</v>
      </c>
      <c r="G19" s="9">
        <v>200</v>
      </c>
      <c r="H19" s="9" t="s">
        <v>9</v>
      </c>
      <c r="J19" s="57" t="s">
        <v>85</v>
      </c>
      <c r="K19" s="57"/>
      <c r="L19" s="31">
        <v>0</v>
      </c>
      <c r="M19" s="28" t="s">
        <v>9</v>
      </c>
      <c r="O19" s="5">
        <f>IF(J11&gt;5*L18,1,O18)</f>
        <v>1</v>
      </c>
    </row>
    <row r="20" spans="1:18" ht="14.25" customHeight="1" x14ac:dyDescent="0.25">
      <c r="A20" s="4">
        <v>11</v>
      </c>
      <c r="C20" s="9">
        <v>3</v>
      </c>
      <c r="D20" s="9" t="s">
        <v>16</v>
      </c>
      <c r="E20" s="10">
        <v>0.3</v>
      </c>
      <c r="F20" s="9">
        <v>5</v>
      </c>
      <c r="G20" s="9">
        <v>200</v>
      </c>
      <c r="H20" s="9" t="s">
        <v>9</v>
      </c>
      <c r="J20" s="57" t="s">
        <v>86</v>
      </c>
      <c r="K20" s="57"/>
      <c r="L20" s="31">
        <v>0</v>
      </c>
      <c r="M20" s="28" t="s">
        <v>9</v>
      </c>
      <c r="O20" s="5">
        <f>IF(L20&gt;=L18,1,O19)</f>
        <v>1</v>
      </c>
    </row>
    <row r="21" spans="1:18" x14ac:dyDescent="0.25">
      <c r="A21" s="4">
        <v>12</v>
      </c>
      <c r="C21" s="9">
        <v>4</v>
      </c>
      <c r="D21" s="9" t="s">
        <v>17</v>
      </c>
      <c r="E21" s="10">
        <v>1</v>
      </c>
      <c r="F21" s="9">
        <v>10</v>
      </c>
      <c r="G21" s="9">
        <v>200</v>
      </c>
      <c r="H21" s="9" t="s">
        <v>9</v>
      </c>
      <c r="J21" s="52" t="s">
        <v>3</v>
      </c>
      <c r="K21" s="52"/>
      <c r="L21" s="30">
        <f>IF(L19=0,1,O21)</f>
        <v>1</v>
      </c>
      <c r="M21" s="27"/>
      <c r="O21" s="5" t="e">
        <f>MIN(O18:O20)</f>
        <v>#DIV/0!</v>
      </c>
    </row>
    <row r="22" spans="1:18" x14ac:dyDescent="0.25">
      <c r="A22" s="75"/>
      <c r="J22" s="29"/>
      <c r="K22" s="29"/>
      <c r="L22" s="29"/>
      <c r="M22" s="29"/>
    </row>
    <row r="23" spans="1:18" x14ac:dyDescent="0.25">
      <c r="A23" s="4">
        <v>13</v>
      </c>
      <c r="C23" s="48" t="s">
        <v>18</v>
      </c>
      <c r="D23" s="48"/>
      <c r="J23" s="29"/>
      <c r="K23" s="29"/>
      <c r="L23" s="29"/>
      <c r="M23" s="29"/>
    </row>
    <row r="24" spans="1:18" x14ac:dyDescent="0.25">
      <c r="A24" s="4">
        <v>14</v>
      </c>
      <c r="C24" s="5" t="s">
        <v>19</v>
      </c>
      <c r="D24" s="3">
        <f>0.19*(E15/E19)^0.07</f>
        <v>0.19</v>
      </c>
      <c r="J24" s="29"/>
      <c r="K24" s="29"/>
      <c r="L24" s="29"/>
      <c r="M24" s="29"/>
    </row>
    <row r="25" spans="1:18" x14ac:dyDescent="0.25">
      <c r="A25" s="75"/>
      <c r="J25" s="29"/>
      <c r="K25" s="29"/>
      <c r="L25" s="29"/>
      <c r="M25" s="29"/>
    </row>
    <row r="26" spans="1:18" x14ac:dyDescent="0.25">
      <c r="A26" s="4">
        <v>15</v>
      </c>
      <c r="C26" s="48" t="s">
        <v>20</v>
      </c>
      <c r="D26" s="48"/>
      <c r="J26" s="29"/>
      <c r="K26" s="29"/>
      <c r="L26" s="29"/>
      <c r="M26" s="29"/>
    </row>
    <row r="27" spans="1:18" x14ac:dyDescent="0.25">
      <c r="A27" s="4">
        <v>16</v>
      </c>
      <c r="C27" s="5" t="s">
        <v>21</v>
      </c>
      <c r="D27" s="3">
        <f>D24*LN(J11/E15)</f>
        <v>0.94688525812458391</v>
      </c>
    </row>
    <row r="28" spans="1:18" x14ac:dyDescent="0.25">
      <c r="A28" s="75"/>
    </row>
    <row r="29" spans="1:18" x14ac:dyDescent="0.25">
      <c r="A29" s="4">
        <v>17</v>
      </c>
      <c r="C29" s="48" t="s">
        <v>22</v>
      </c>
      <c r="D29" s="48"/>
    </row>
    <row r="30" spans="1:18" x14ac:dyDescent="0.25">
      <c r="A30" s="4">
        <v>18</v>
      </c>
      <c r="C30" s="5" t="s">
        <v>23</v>
      </c>
      <c r="D30" s="3">
        <f>D27*L21*E11</f>
        <v>25.565901969363765</v>
      </c>
      <c r="E30" s="5" t="s">
        <v>6</v>
      </c>
    </row>
    <row r="31" spans="1:18" x14ac:dyDescent="0.25">
      <c r="A31" s="75"/>
    </row>
    <row r="32" spans="1:18" x14ac:dyDescent="0.25">
      <c r="A32" s="4">
        <v>19</v>
      </c>
      <c r="C32" s="48" t="s">
        <v>24</v>
      </c>
      <c r="D32" s="48"/>
      <c r="Q32" s="15"/>
    </row>
    <row r="33" spans="1:9" ht="18.75" x14ac:dyDescent="0.35">
      <c r="A33" s="4">
        <v>20</v>
      </c>
      <c r="C33" s="5" t="s">
        <v>25</v>
      </c>
      <c r="D33" s="3">
        <f>(1/L21)*(1/LN(J11/E15))</f>
        <v>0.20065789214663352</v>
      </c>
      <c r="E33" s="49" t="s">
        <v>97</v>
      </c>
      <c r="F33" s="50"/>
      <c r="G33" s="51"/>
    </row>
    <row r="34" spans="1:9" x14ac:dyDescent="0.25">
      <c r="A34" s="75"/>
      <c r="D34" s="32"/>
    </row>
    <row r="35" spans="1:9" x14ac:dyDescent="0.25">
      <c r="A35" s="4">
        <v>21</v>
      </c>
      <c r="C35" s="42" t="s">
        <v>89</v>
      </c>
      <c r="D35" s="42"/>
      <c r="E35" s="42"/>
      <c r="F35" s="42"/>
      <c r="G35" s="2">
        <v>3.5</v>
      </c>
    </row>
    <row r="36" spans="1:9" x14ac:dyDescent="0.25">
      <c r="A36" s="75"/>
      <c r="C36" s="33"/>
      <c r="D36" s="33"/>
      <c r="E36" s="33"/>
      <c r="F36" s="33"/>
    </row>
    <row r="37" spans="1:9" x14ac:dyDescent="0.25">
      <c r="A37" s="4">
        <v>22</v>
      </c>
      <c r="C37" s="55" t="s">
        <v>90</v>
      </c>
      <c r="D37" s="42"/>
      <c r="E37" s="42"/>
      <c r="F37" s="42"/>
      <c r="G37" s="11">
        <v>1.5</v>
      </c>
    </row>
    <row r="38" spans="1:9" x14ac:dyDescent="0.25">
      <c r="A38" s="75">
        <v>23</v>
      </c>
      <c r="C38" s="42"/>
      <c r="D38" s="42"/>
      <c r="E38" s="42"/>
      <c r="F38" s="42"/>
    </row>
    <row r="39" spans="1:9" x14ac:dyDescent="0.25">
      <c r="A39" s="75"/>
    </row>
    <row r="40" spans="1:9" x14ac:dyDescent="0.25">
      <c r="A40" s="4">
        <v>24</v>
      </c>
      <c r="C40" s="48" t="s">
        <v>92</v>
      </c>
      <c r="D40" s="48"/>
      <c r="E40" s="48"/>
      <c r="F40" s="48"/>
    </row>
    <row r="41" spans="1:9" x14ac:dyDescent="0.25">
      <c r="A41" s="4">
        <v>25</v>
      </c>
      <c r="C41" s="25" t="s">
        <v>26</v>
      </c>
      <c r="D41" s="34">
        <f>(1+(2*G35)*D33)*0.5*1.25*(D30^2)/1000</f>
        <v>0.98230430201685681</v>
      </c>
      <c r="E41" s="25" t="s">
        <v>27</v>
      </c>
      <c r="G41" s="49" t="s">
        <v>91</v>
      </c>
      <c r="H41" s="50"/>
      <c r="I41" s="51"/>
    </row>
    <row r="42" spans="1:9" x14ac:dyDescent="0.25">
      <c r="A42" s="75"/>
      <c r="D42" s="32"/>
    </row>
    <row r="43" spans="1:9" x14ac:dyDescent="0.25">
      <c r="A43" s="4">
        <v>26</v>
      </c>
      <c r="C43" s="43" t="s">
        <v>93</v>
      </c>
      <c r="D43" s="44"/>
      <c r="E43" s="44"/>
      <c r="F43" s="45"/>
    </row>
    <row r="44" spans="1:9" x14ac:dyDescent="0.25">
      <c r="A44" s="4">
        <v>27</v>
      </c>
      <c r="C44" s="25" t="s">
        <v>26</v>
      </c>
      <c r="D44" s="3">
        <f>(1+(2*G37)*D33)*0.5*1.25*(D30^2)/1000</f>
        <v>0.65442160925976656</v>
      </c>
      <c r="E44" s="25" t="s">
        <v>27</v>
      </c>
      <c r="G44" s="49" t="s">
        <v>94</v>
      </c>
      <c r="H44" s="50"/>
      <c r="I44" s="51"/>
    </row>
    <row r="45" spans="1:9" x14ac:dyDescent="0.25">
      <c r="A45" s="75"/>
      <c r="D45" s="32"/>
    </row>
    <row r="46" spans="1:9" x14ac:dyDescent="0.25">
      <c r="A46" s="4">
        <v>28</v>
      </c>
      <c r="C46" s="48" t="s">
        <v>28</v>
      </c>
      <c r="D46" s="48"/>
      <c r="E46" s="48"/>
    </row>
    <row r="47" spans="1:9" x14ac:dyDescent="0.25">
      <c r="A47" s="4">
        <v>29</v>
      </c>
      <c r="C47" s="5" t="s">
        <v>29</v>
      </c>
      <c r="D47" s="2">
        <f>IF(2*J11&lt;J7,2*J11,J7)</f>
        <v>10</v>
      </c>
      <c r="E47" s="5" t="s">
        <v>9</v>
      </c>
    </row>
    <row r="48" spans="1:9" x14ac:dyDescent="0.25">
      <c r="A48" s="4">
        <v>30</v>
      </c>
      <c r="C48" s="5" t="s">
        <v>30</v>
      </c>
      <c r="D48" s="2">
        <f>D47</f>
        <v>10</v>
      </c>
      <c r="E48" s="5" t="s">
        <v>9</v>
      </c>
    </row>
    <row r="49" spans="1:11" x14ac:dyDescent="0.25">
      <c r="A49" s="4">
        <v>31</v>
      </c>
      <c r="C49" s="5" t="s">
        <v>31</v>
      </c>
      <c r="D49" s="2">
        <f>D48/5</f>
        <v>2</v>
      </c>
      <c r="E49" s="5" t="s">
        <v>9</v>
      </c>
    </row>
    <row r="50" spans="1:11" x14ac:dyDescent="0.25">
      <c r="A50" s="4">
        <v>32</v>
      </c>
      <c r="C50" s="5" t="s">
        <v>32</v>
      </c>
      <c r="D50" s="2">
        <f>(4/5)*D48</f>
        <v>8</v>
      </c>
      <c r="E50" s="5" t="s">
        <v>9</v>
      </c>
    </row>
    <row r="51" spans="1:11" x14ac:dyDescent="0.25">
      <c r="A51" s="4">
        <v>33</v>
      </c>
      <c r="C51" s="5" t="s">
        <v>33</v>
      </c>
      <c r="D51" s="2">
        <f>J9-D48</f>
        <v>5</v>
      </c>
      <c r="E51" s="5" t="s">
        <v>9</v>
      </c>
    </row>
    <row r="52" spans="1:11" x14ac:dyDescent="0.25">
      <c r="A52" s="4">
        <v>34</v>
      </c>
      <c r="C52" s="5" t="s">
        <v>48</v>
      </c>
      <c r="D52" s="2">
        <f>J9</f>
        <v>15</v>
      </c>
      <c r="E52" s="5" t="s">
        <v>9</v>
      </c>
    </row>
    <row r="53" spans="1:11" x14ac:dyDescent="0.25">
      <c r="A53" s="4">
        <v>35</v>
      </c>
      <c r="C53" s="5" t="s">
        <v>49</v>
      </c>
      <c r="D53" s="2">
        <f>J9</f>
        <v>15</v>
      </c>
      <c r="E53" s="5" t="s">
        <v>9</v>
      </c>
    </row>
    <row r="54" spans="1:11" x14ac:dyDescent="0.25">
      <c r="A54" s="4">
        <v>36</v>
      </c>
      <c r="C54" s="5" t="s">
        <v>34</v>
      </c>
      <c r="D54" s="3">
        <f>J11/J9</f>
        <v>0.48666666666666664</v>
      </c>
      <c r="E54" s="5"/>
    </row>
    <row r="55" spans="1:11" x14ac:dyDescent="0.25">
      <c r="A55" s="75"/>
    </row>
    <row r="56" spans="1:11" x14ac:dyDescent="0.25">
      <c r="A56" s="4">
        <v>37</v>
      </c>
      <c r="C56" s="4" t="s">
        <v>35</v>
      </c>
      <c r="D56" s="16">
        <f>IF(D54&lt;=0.25,"≤0.25",IF(D54&gt;=5,5,IF(D54&lt;=5,1,)))</f>
        <v>1</v>
      </c>
      <c r="E56" s="14"/>
      <c r="F56" s="14"/>
    </row>
    <row r="57" spans="1:11" x14ac:dyDescent="0.25">
      <c r="A57" s="75"/>
      <c r="E57" s="13" t="s">
        <v>47</v>
      </c>
      <c r="F57" s="13"/>
    </row>
    <row r="58" spans="1:11" x14ac:dyDescent="0.25">
      <c r="A58" s="4">
        <v>38</v>
      </c>
      <c r="C58" s="4" t="s">
        <v>52</v>
      </c>
      <c r="D58" s="4" t="s">
        <v>36</v>
      </c>
      <c r="E58" s="4" t="s">
        <v>37</v>
      </c>
      <c r="F58" s="4" t="s">
        <v>38</v>
      </c>
      <c r="G58" s="4" t="s">
        <v>39</v>
      </c>
      <c r="H58" s="4" t="s">
        <v>40</v>
      </c>
      <c r="I58" s="46" t="s">
        <v>41</v>
      </c>
      <c r="J58" s="47"/>
      <c r="K58" s="4" t="s">
        <v>42</v>
      </c>
    </row>
    <row r="59" spans="1:11" x14ac:dyDescent="0.25">
      <c r="A59" s="4">
        <v>39</v>
      </c>
      <c r="C59" s="4" t="s">
        <v>53</v>
      </c>
      <c r="D59" s="4" t="s">
        <v>54</v>
      </c>
      <c r="E59" s="4" t="s">
        <v>54</v>
      </c>
      <c r="F59" s="4" t="s">
        <v>54</v>
      </c>
      <c r="G59" s="4" t="s">
        <v>54</v>
      </c>
      <c r="H59" s="4" t="s">
        <v>54</v>
      </c>
      <c r="I59" s="46" t="s">
        <v>54</v>
      </c>
      <c r="J59" s="47"/>
      <c r="K59" s="4" t="s">
        <v>54</v>
      </c>
    </row>
    <row r="60" spans="1:11" x14ac:dyDescent="0.25">
      <c r="A60" s="4">
        <v>40</v>
      </c>
      <c r="C60" s="22">
        <v>5</v>
      </c>
      <c r="D60" s="4">
        <v>-1.2</v>
      </c>
      <c r="E60" s="4">
        <v>-0.8</v>
      </c>
      <c r="F60" s="4">
        <v>-0.5</v>
      </c>
      <c r="G60" s="4">
        <v>0.8</v>
      </c>
      <c r="H60" s="4">
        <v>-0.7</v>
      </c>
      <c r="I60" s="46">
        <v>1</v>
      </c>
      <c r="J60" s="47"/>
      <c r="K60" s="6">
        <f>(G60-H60)*I60</f>
        <v>1.5</v>
      </c>
    </row>
    <row r="61" spans="1:11" x14ac:dyDescent="0.25">
      <c r="A61" s="4">
        <v>41</v>
      </c>
      <c r="C61" s="22">
        <v>1</v>
      </c>
      <c r="D61" s="4">
        <v>-1.2</v>
      </c>
      <c r="E61" s="4">
        <v>-0.8</v>
      </c>
      <c r="F61" s="4">
        <v>-0.5</v>
      </c>
      <c r="G61" s="4">
        <v>0.8</v>
      </c>
      <c r="H61" s="4">
        <v>-0.5</v>
      </c>
      <c r="I61" s="46">
        <v>0.85</v>
      </c>
      <c r="J61" s="47"/>
      <c r="K61" s="6">
        <f>(G61-H61)*I61</f>
        <v>1.105</v>
      </c>
    </row>
    <row r="62" spans="1:11" x14ac:dyDescent="0.25">
      <c r="A62" s="4">
        <v>42</v>
      </c>
      <c r="C62" s="17" t="s">
        <v>50</v>
      </c>
      <c r="D62" s="4">
        <v>-1.2</v>
      </c>
      <c r="E62" s="4">
        <v>-0.8</v>
      </c>
      <c r="F62" s="4">
        <v>-0.5</v>
      </c>
      <c r="G62" s="4">
        <v>0.7</v>
      </c>
      <c r="H62" s="4">
        <v>-0.3</v>
      </c>
      <c r="I62" s="46">
        <v>0.85</v>
      </c>
      <c r="J62" s="47"/>
      <c r="K62" s="4">
        <f>(G62-H62)*I62</f>
        <v>0.85</v>
      </c>
    </row>
    <row r="63" spans="1:11" x14ac:dyDescent="0.25">
      <c r="A63" s="75"/>
    </row>
    <row r="64" spans="1:11" x14ac:dyDescent="0.25">
      <c r="A64" s="4">
        <v>43</v>
      </c>
      <c r="C64" s="48" t="s">
        <v>95</v>
      </c>
      <c r="D64" s="48"/>
      <c r="E64" s="48"/>
      <c r="F64" s="48"/>
      <c r="G64" s="48"/>
      <c r="H64" s="48"/>
      <c r="I64" s="48"/>
      <c r="J64" s="48"/>
      <c r="K64" s="48"/>
    </row>
    <row r="65" spans="1:11" x14ac:dyDescent="0.25">
      <c r="A65" s="4">
        <v>44</v>
      </c>
      <c r="C65" s="4" t="s">
        <v>52</v>
      </c>
      <c r="D65" s="4" t="s">
        <v>36</v>
      </c>
      <c r="E65" s="4" t="s">
        <v>37</v>
      </c>
      <c r="F65" s="4" t="s">
        <v>38</v>
      </c>
      <c r="G65" s="4" t="s">
        <v>39</v>
      </c>
      <c r="H65" s="4" t="s">
        <v>40</v>
      </c>
    </row>
    <row r="66" spans="1:11" x14ac:dyDescent="0.25">
      <c r="A66" s="4">
        <v>45</v>
      </c>
      <c r="C66" s="35">
        <f>D54</f>
        <v>0.48666666666666664</v>
      </c>
      <c r="D66" s="35">
        <f>IF(D56=C62,D62*D41,IF(D56=C61,D61*D41,IF(D56=C60,D60*D41,)))</f>
        <v>-1.1787651624202282</v>
      </c>
      <c r="E66" s="35">
        <f>IF(D56=C62,E62*D41,IF(D56=C61,E61*D41,IF(D56=C60,E60*D41,)))</f>
        <v>-0.78584344161348552</v>
      </c>
      <c r="F66" s="35">
        <f>IF(D56=C62,F62*D41,IF(D56=C61,F61*D41,IF(D56=C60,F60*D41,)))</f>
        <v>-0.49115215100842841</v>
      </c>
      <c r="G66" s="35">
        <f>IF(D56=C62,G62*D41,IF(D56=C61,G61*D41,IF(D56=C60,G60*D41,)))</f>
        <v>0.78584344161348552</v>
      </c>
      <c r="H66" s="35">
        <f>IF(D56=C62,H62*D41,IF(D56=C61,H61*D41,IF(D56=C60,H60*D41,)))</f>
        <v>-0.49115215100842841</v>
      </c>
    </row>
    <row r="67" spans="1:11" x14ac:dyDescent="0.25">
      <c r="A67" s="75"/>
    </row>
    <row r="68" spans="1:11" x14ac:dyDescent="0.25">
      <c r="A68" s="4">
        <v>46</v>
      </c>
      <c r="C68" s="48" t="s">
        <v>28</v>
      </c>
      <c r="D68" s="48"/>
      <c r="E68" s="48"/>
    </row>
    <row r="69" spans="1:11" x14ac:dyDescent="0.25">
      <c r="A69" s="4">
        <v>47</v>
      </c>
      <c r="C69" s="5" t="s">
        <v>29</v>
      </c>
      <c r="D69" s="2">
        <f>IF(2*J11&lt;J9,2*J11,J9)</f>
        <v>14.6</v>
      </c>
      <c r="E69" s="5" t="s">
        <v>9</v>
      </c>
    </row>
    <row r="70" spans="1:11" x14ac:dyDescent="0.25">
      <c r="A70" s="4">
        <v>48</v>
      </c>
      <c r="C70" s="5" t="s">
        <v>30</v>
      </c>
      <c r="D70" s="2">
        <f>D69</f>
        <v>14.6</v>
      </c>
      <c r="E70" s="5" t="s">
        <v>9</v>
      </c>
    </row>
    <row r="71" spans="1:11" x14ac:dyDescent="0.25">
      <c r="A71" s="4">
        <v>49</v>
      </c>
      <c r="C71" s="5" t="s">
        <v>31</v>
      </c>
      <c r="D71" s="2">
        <f>D70/5</f>
        <v>2.92</v>
      </c>
      <c r="E71" s="5" t="s">
        <v>9</v>
      </c>
    </row>
    <row r="72" spans="1:11" x14ac:dyDescent="0.25">
      <c r="A72" s="4">
        <v>50</v>
      </c>
      <c r="C72" s="5" t="s">
        <v>32</v>
      </c>
      <c r="D72" s="2">
        <f>(4/5)*D70</f>
        <v>11.68</v>
      </c>
      <c r="E72" s="5" t="s">
        <v>9</v>
      </c>
    </row>
    <row r="73" spans="1:11" x14ac:dyDescent="0.25">
      <c r="A73" s="4">
        <v>51</v>
      </c>
      <c r="C73" s="5" t="s">
        <v>33</v>
      </c>
      <c r="D73" s="2">
        <f>J7-D77</f>
        <v>10</v>
      </c>
      <c r="E73" s="5" t="s">
        <v>9</v>
      </c>
    </row>
    <row r="74" spans="1:11" x14ac:dyDescent="0.25">
      <c r="A74" s="4">
        <v>52</v>
      </c>
      <c r="C74" s="5" t="s">
        <v>48</v>
      </c>
      <c r="D74" s="2">
        <f>J7</f>
        <v>10</v>
      </c>
      <c r="E74" s="5" t="s">
        <v>9</v>
      </c>
    </row>
    <row r="75" spans="1:11" x14ac:dyDescent="0.25">
      <c r="A75" s="4">
        <v>53</v>
      </c>
      <c r="C75" s="5" t="s">
        <v>49</v>
      </c>
      <c r="D75" s="2">
        <f>J7</f>
        <v>10</v>
      </c>
      <c r="E75" s="5" t="s">
        <v>9</v>
      </c>
    </row>
    <row r="76" spans="1:11" x14ac:dyDescent="0.25">
      <c r="A76" s="4">
        <v>54</v>
      </c>
      <c r="C76" s="5" t="s">
        <v>34</v>
      </c>
      <c r="D76" s="3">
        <f>J11/J7</f>
        <v>0.73</v>
      </c>
      <c r="E76" s="5"/>
    </row>
    <row r="77" spans="1:11" x14ac:dyDescent="0.25">
      <c r="A77" s="75"/>
    </row>
    <row r="78" spans="1:11" x14ac:dyDescent="0.25">
      <c r="A78" s="4">
        <v>55</v>
      </c>
      <c r="C78" s="4" t="s">
        <v>35</v>
      </c>
      <c r="D78" s="16">
        <f>IF(D76&lt;=0.25,"≤0.25",IF(D76&gt;=5,5,IF(D76&lt;=5,1,)))</f>
        <v>1</v>
      </c>
    </row>
    <row r="79" spans="1:11" x14ac:dyDescent="0.25">
      <c r="A79" s="75"/>
    </row>
    <row r="80" spans="1:11" x14ac:dyDescent="0.25">
      <c r="A80" s="4">
        <v>56</v>
      </c>
      <c r="C80" s="4" t="s">
        <v>52</v>
      </c>
      <c r="D80" s="4" t="s">
        <v>36</v>
      </c>
      <c r="E80" s="4" t="s">
        <v>37</v>
      </c>
      <c r="F80" s="4" t="s">
        <v>38</v>
      </c>
      <c r="G80" s="4" t="s">
        <v>39</v>
      </c>
      <c r="H80" s="4" t="s">
        <v>40</v>
      </c>
      <c r="I80" s="46" t="s">
        <v>41</v>
      </c>
      <c r="J80" s="47"/>
      <c r="K80" s="4" t="s">
        <v>42</v>
      </c>
    </row>
    <row r="81" spans="1:11" x14ac:dyDescent="0.25">
      <c r="A81" s="4">
        <v>57</v>
      </c>
      <c r="C81" s="4" t="s">
        <v>53</v>
      </c>
      <c r="D81" s="4" t="s">
        <v>54</v>
      </c>
      <c r="E81" s="4" t="s">
        <v>54</v>
      </c>
      <c r="F81" s="4" t="s">
        <v>54</v>
      </c>
      <c r="G81" s="4" t="s">
        <v>54</v>
      </c>
      <c r="H81" s="4" t="s">
        <v>54</v>
      </c>
      <c r="I81" s="46" t="s">
        <v>54</v>
      </c>
      <c r="J81" s="47"/>
      <c r="K81" s="4" t="s">
        <v>54</v>
      </c>
    </row>
    <row r="82" spans="1:11" x14ac:dyDescent="0.25">
      <c r="A82" s="4">
        <v>58</v>
      </c>
      <c r="C82" s="22">
        <v>5</v>
      </c>
      <c r="D82" s="4">
        <v>-1.2</v>
      </c>
      <c r="E82" s="4">
        <v>-0.8</v>
      </c>
      <c r="F82" s="4">
        <v>-0.5</v>
      </c>
      <c r="G82" s="4">
        <v>0.8</v>
      </c>
      <c r="H82" s="4">
        <v>-0.7</v>
      </c>
      <c r="I82" s="46">
        <v>1</v>
      </c>
      <c r="J82" s="47"/>
      <c r="K82" s="6">
        <f>(G82-H82)*I82</f>
        <v>1.5</v>
      </c>
    </row>
    <row r="83" spans="1:11" x14ac:dyDescent="0.25">
      <c r="A83" s="4">
        <v>59</v>
      </c>
      <c r="C83" s="22">
        <v>1</v>
      </c>
      <c r="D83" s="4">
        <v>-1.2</v>
      </c>
      <c r="E83" s="4">
        <v>-0.8</v>
      </c>
      <c r="F83" s="4">
        <v>-0.5</v>
      </c>
      <c r="G83" s="4">
        <v>0.8</v>
      </c>
      <c r="H83" s="4">
        <v>-0.5</v>
      </c>
      <c r="I83" s="46">
        <v>0.85</v>
      </c>
      <c r="J83" s="47"/>
      <c r="K83" s="6">
        <f>(G83-H83)*I83</f>
        <v>1.105</v>
      </c>
    </row>
    <row r="84" spans="1:11" x14ac:dyDescent="0.25">
      <c r="A84" s="4">
        <v>60</v>
      </c>
      <c r="C84" s="17" t="s">
        <v>50</v>
      </c>
      <c r="D84" s="4">
        <v>-1.2</v>
      </c>
      <c r="E84" s="4">
        <v>-0.8</v>
      </c>
      <c r="F84" s="4">
        <v>-0.5</v>
      </c>
      <c r="G84" s="4">
        <v>0.7</v>
      </c>
      <c r="H84" s="4">
        <v>-0.3</v>
      </c>
      <c r="I84" s="46">
        <v>0.85</v>
      </c>
      <c r="J84" s="47"/>
      <c r="K84" s="4">
        <f>(G84-H84)*I84</f>
        <v>0.85</v>
      </c>
    </row>
    <row r="85" spans="1:11" x14ac:dyDescent="0.25">
      <c r="A85" s="75"/>
    </row>
    <row r="86" spans="1:11" x14ac:dyDescent="0.25">
      <c r="A86" s="4">
        <v>61</v>
      </c>
      <c r="C86" s="48" t="s">
        <v>96</v>
      </c>
      <c r="D86" s="48"/>
      <c r="E86" s="48"/>
      <c r="F86" s="48"/>
      <c r="G86" s="48"/>
      <c r="H86" s="48"/>
      <c r="I86" s="48"/>
      <c r="J86" s="48"/>
      <c r="K86" s="48"/>
    </row>
    <row r="87" spans="1:11" x14ac:dyDescent="0.25">
      <c r="A87" s="4">
        <v>62</v>
      </c>
      <c r="C87" s="4" t="s">
        <v>52</v>
      </c>
      <c r="D87" s="4" t="s">
        <v>36</v>
      </c>
      <c r="E87" s="4" t="s">
        <v>37</v>
      </c>
      <c r="F87" s="4" t="s">
        <v>38</v>
      </c>
      <c r="G87" s="4" t="s">
        <v>39</v>
      </c>
      <c r="H87" s="4" t="s">
        <v>40</v>
      </c>
    </row>
    <row r="88" spans="1:11" x14ac:dyDescent="0.25">
      <c r="A88" s="4">
        <v>63</v>
      </c>
      <c r="C88" s="35">
        <f>D76</f>
        <v>0.73</v>
      </c>
      <c r="D88" s="35">
        <f>IF(D78=C84,D84*+D41,IF(D78=C83,D83*D41,IF(D78=C82,D82*D41,)))</f>
        <v>-1.1787651624202282</v>
      </c>
      <c r="E88" s="35">
        <f>IF(D78=C84,E84*D41,IF(D78=C83,E83*D41,IF(D78=C82,E82*D41,)))</f>
        <v>-0.78584344161348552</v>
      </c>
      <c r="F88" s="35">
        <f>IF(D78=C84,F84*D41,IF(D78=C83,F83*D41,IF(D78=C82,F82*D41,)))</f>
        <v>-0.49115215100842841</v>
      </c>
      <c r="G88" s="35">
        <f>IF(D78=C84,G84*D41,IF(D78=C83,G83*D41,IF(D78=C82,G82*D41,)))</f>
        <v>0.78584344161348552</v>
      </c>
      <c r="H88" s="35">
        <f>IF(D78=C84,H84*D41,IF(D78=C83,H83*D41,IF(D78=C82,H82*D41,)))</f>
        <v>-0.49115215100842841</v>
      </c>
    </row>
    <row r="89" spans="1:11" x14ac:dyDescent="0.25">
      <c r="A89" s="75"/>
    </row>
    <row r="90" spans="1:11" x14ac:dyDescent="0.25">
      <c r="A90" s="4">
        <v>64</v>
      </c>
      <c r="C90" s="43" t="s">
        <v>112</v>
      </c>
      <c r="D90" s="44"/>
      <c r="E90" s="44"/>
      <c r="F90" s="44"/>
      <c r="G90" s="45"/>
      <c r="H90" s="4" t="s">
        <v>111</v>
      </c>
      <c r="I90" s="5"/>
      <c r="J90" s="38" t="s">
        <v>82</v>
      </c>
      <c r="K90" s="39"/>
    </row>
    <row r="91" spans="1:11" x14ac:dyDescent="0.25">
      <c r="A91" s="4">
        <v>65</v>
      </c>
      <c r="C91" s="42" t="s">
        <v>107</v>
      </c>
      <c r="D91" s="42"/>
      <c r="E91" s="42"/>
      <c r="F91" s="42"/>
      <c r="G91" s="42"/>
      <c r="H91" s="11">
        <v>0.2</v>
      </c>
      <c r="I91" s="4" t="s">
        <v>110</v>
      </c>
      <c r="J91" s="40">
        <f>H91*D44</f>
        <v>0.13088432185195331</v>
      </c>
    </row>
    <row r="92" spans="1:11" x14ac:dyDescent="0.25">
      <c r="A92" s="4">
        <v>66</v>
      </c>
      <c r="C92" s="42" t="s">
        <v>109</v>
      </c>
      <c r="D92" s="42"/>
      <c r="E92" s="42"/>
      <c r="F92" s="42"/>
      <c r="G92" s="42"/>
      <c r="H92" s="11">
        <v>-0.3</v>
      </c>
      <c r="I92" s="4" t="s">
        <v>110</v>
      </c>
      <c r="J92" s="40">
        <f>H92*D44</f>
        <v>-0.19632648277792997</v>
      </c>
    </row>
    <row r="93" spans="1:11" x14ac:dyDescent="0.25">
      <c r="A93" s="4">
        <v>67</v>
      </c>
      <c r="C93" s="42" t="s">
        <v>108</v>
      </c>
      <c r="D93" s="42"/>
      <c r="E93" s="42"/>
      <c r="F93" s="42"/>
      <c r="G93" s="42"/>
      <c r="H93" s="11">
        <v>0.4</v>
      </c>
      <c r="I93" s="4" t="s">
        <v>110</v>
      </c>
      <c r="J93" s="40">
        <f>H93*D44</f>
        <v>0.26176864370390662</v>
      </c>
    </row>
    <row r="105" ht="15" customHeight="1" x14ac:dyDescent="0.25"/>
  </sheetData>
  <mergeCells count="45">
    <mergeCell ref="C68:E68"/>
    <mergeCell ref="I80:J80"/>
    <mergeCell ref="I59:J59"/>
    <mergeCell ref="I61:J61"/>
    <mergeCell ref="I62:J62"/>
    <mergeCell ref="I60:J60"/>
    <mergeCell ref="C64:K64"/>
    <mergeCell ref="A1:K3"/>
    <mergeCell ref="C11:D11"/>
    <mergeCell ref="C9:D9"/>
    <mergeCell ref="C4:K5"/>
    <mergeCell ref="A4:A5"/>
    <mergeCell ref="F9:H9"/>
    <mergeCell ref="I58:J58"/>
    <mergeCell ref="C7:D7"/>
    <mergeCell ref="L7:N7"/>
    <mergeCell ref="C46:E46"/>
    <mergeCell ref="J21:K21"/>
    <mergeCell ref="C13:D13"/>
    <mergeCell ref="C14:F14"/>
    <mergeCell ref="C37:F38"/>
    <mergeCell ref="G41:I41"/>
    <mergeCell ref="C40:F40"/>
    <mergeCell ref="G44:I44"/>
    <mergeCell ref="C43:F43"/>
    <mergeCell ref="J17:M17"/>
    <mergeCell ref="J18:K18"/>
    <mergeCell ref="J19:K19"/>
    <mergeCell ref="J20:K20"/>
    <mergeCell ref="C35:F35"/>
    <mergeCell ref="C32:D32"/>
    <mergeCell ref="C29:D29"/>
    <mergeCell ref="C17:D17"/>
    <mergeCell ref="C23:D23"/>
    <mergeCell ref="C26:D26"/>
    <mergeCell ref="E33:G33"/>
    <mergeCell ref="C93:G93"/>
    <mergeCell ref="C90:G90"/>
    <mergeCell ref="C92:G92"/>
    <mergeCell ref="C91:G91"/>
    <mergeCell ref="I81:J81"/>
    <mergeCell ref="I82:J82"/>
    <mergeCell ref="I83:J83"/>
    <mergeCell ref="I84:J84"/>
    <mergeCell ref="C86:K86"/>
  </mergeCells>
  <conditionalFormatting sqref="C60:K60">
    <cfRule type="expression" dxfId="11" priority="14">
      <formula>$D$56=$C$60</formula>
    </cfRule>
  </conditionalFormatting>
  <conditionalFormatting sqref="C61:K61">
    <cfRule type="expression" dxfId="10" priority="15">
      <formula>$D$56=$C$61</formula>
    </cfRule>
  </conditionalFormatting>
  <conditionalFormatting sqref="C62:K62">
    <cfRule type="expression" dxfId="9" priority="10">
      <formula>$D$56=$C$62</formula>
    </cfRule>
  </conditionalFormatting>
  <conditionalFormatting sqref="C82:K82">
    <cfRule type="expression" dxfId="8" priority="2">
      <formula>$D$78=$C$82</formula>
    </cfRule>
  </conditionalFormatting>
  <conditionalFormatting sqref="C83:K83">
    <cfRule type="expression" dxfId="7" priority="3">
      <formula>$D$78=$C$83</formula>
    </cfRule>
  </conditionalFormatting>
  <conditionalFormatting sqref="C84:K84">
    <cfRule type="expression" dxfId="6" priority="1">
      <formula>$D$78=$C$84</formula>
    </cfRule>
  </conditionalFormatting>
  <dataValidations disablePrompts="1" count="3">
    <dataValidation type="list" allowBlank="1" showInputMessage="1" showErrorMessage="1" sqref="E11" xr:uid="{7B49D447-1257-472A-901D-D4BA887590A4}">
      <formula1>$M$8:$M$9</formula1>
    </dataValidation>
    <dataValidation type="list" allowBlank="1" showInputMessage="1" showErrorMessage="1" sqref="Q17" xr:uid="{32D6A790-6927-4486-841A-D94AEE31216F}">
      <formula1>$E$18:$E$21</formula1>
    </dataValidation>
    <dataValidation type="list" allowBlank="1" showInputMessage="1" showErrorMessage="1" sqref="E13" xr:uid="{3B9C9950-DAF7-42F3-8FC9-CEE32FEFC9E3}">
      <formula1>$C$18:$C$21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0ED5-DA7E-4660-81BB-FD0A935CFAE1}">
  <sheetPr>
    <tabColor rgb="FFFFC000"/>
  </sheetPr>
  <dimension ref="A1:T43"/>
  <sheetViews>
    <sheetView tabSelected="1" topLeftCell="A5" workbookViewId="0">
      <selection sqref="A1:N2"/>
    </sheetView>
  </sheetViews>
  <sheetFormatPr defaultRowHeight="15" x14ac:dyDescent="0.25"/>
  <cols>
    <col min="1" max="1" width="3.42578125" customWidth="1"/>
    <col min="2" max="2" width="12.28515625" customWidth="1"/>
    <col min="6" max="6" width="9.140625" customWidth="1"/>
  </cols>
  <sheetData>
    <row r="1" spans="1:14" ht="15" customHeight="1" x14ac:dyDescent="0.25">
      <c r="A1" s="81" t="s">
        <v>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9.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29.25" customHeight="1" x14ac:dyDescent="0.25">
      <c r="A3" s="77" t="s">
        <v>2</v>
      </c>
      <c r="B3" s="78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</row>
    <row r="6" spans="1:14" x14ac:dyDescent="0.25">
      <c r="B6" s="48" t="s">
        <v>98</v>
      </c>
      <c r="C6" s="48"/>
      <c r="D6" s="48"/>
    </row>
    <row r="7" spans="1:14" x14ac:dyDescent="0.25">
      <c r="B7" s="5" t="s">
        <v>29</v>
      </c>
      <c r="C7" s="2">
        <f>IF(2*Vindlast!J11&lt;Vindlast!J7,2*Vindlast!J11,Vindlast!J7)</f>
        <v>10</v>
      </c>
      <c r="D7" s="5" t="s">
        <v>9</v>
      </c>
    </row>
    <row r="8" spans="1:14" x14ac:dyDescent="0.25">
      <c r="B8" s="5" t="s">
        <v>51</v>
      </c>
      <c r="C8" s="2">
        <f>C7/4</f>
        <v>2.5</v>
      </c>
      <c r="D8" s="5" t="s">
        <v>9</v>
      </c>
    </row>
    <row r="9" spans="1:14" x14ac:dyDescent="0.25">
      <c r="B9" s="5" t="s">
        <v>113</v>
      </c>
      <c r="C9" s="2">
        <f>C7/10</f>
        <v>1</v>
      </c>
      <c r="D9" s="5" t="s">
        <v>9</v>
      </c>
    </row>
    <row r="10" spans="1:14" x14ac:dyDescent="0.25">
      <c r="B10" s="5" t="s">
        <v>99</v>
      </c>
      <c r="C10" s="2">
        <f>Vindlast!J7-(2*C8)</f>
        <v>5</v>
      </c>
      <c r="D10" s="5" t="s">
        <v>9</v>
      </c>
    </row>
    <row r="11" spans="1:14" x14ac:dyDescent="0.25">
      <c r="B11" s="5" t="s">
        <v>114</v>
      </c>
      <c r="C11" s="2">
        <f>C9</f>
        <v>1</v>
      </c>
      <c r="D11" s="5" t="s">
        <v>9</v>
      </c>
    </row>
    <row r="12" spans="1:14" x14ac:dyDescent="0.25">
      <c r="B12" s="37" t="s">
        <v>101</v>
      </c>
      <c r="C12" s="2">
        <f>Vindlast!J7</f>
        <v>10</v>
      </c>
      <c r="D12" s="5" t="s">
        <v>9</v>
      </c>
    </row>
    <row r="13" spans="1:14" x14ac:dyDescent="0.25">
      <c r="B13" s="36" t="s">
        <v>115</v>
      </c>
      <c r="C13" s="2">
        <f>(Vindlast!J9/2)-C9</f>
        <v>6.5</v>
      </c>
      <c r="D13" s="5" t="s">
        <v>9</v>
      </c>
    </row>
    <row r="14" spans="1:14" x14ac:dyDescent="0.25">
      <c r="B14" s="36" t="s">
        <v>102</v>
      </c>
      <c r="C14" s="2">
        <f>Vindlast!J7</f>
        <v>10</v>
      </c>
      <c r="D14" s="5" t="s">
        <v>9</v>
      </c>
    </row>
    <row r="15" spans="1:14" x14ac:dyDescent="0.25">
      <c r="B15" s="36" t="s">
        <v>116</v>
      </c>
      <c r="C15" s="2">
        <f>C16-C17</f>
        <v>9</v>
      </c>
      <c r="D15" s="5" t="s">
        <v>9</v>
      </c>
    </row>
    <row r="16" spans="1:14" x14ac:dyDescent="0.25">
      <c r="B16" s="36" t="s">
        <v>100</v>
      </c>
      <c r="C16" s="2">
        <f>Vindlast!J7</f>
        <v>10</v>
      </c>
      <c r="D16" s="5" t="s">
        <v>9</v>
      </c>
    </row>
    <row r="17" spans="2:10" x14ac:dyDescent="0.25">
      <c r="B17" s="5" t="s">
        <v>117</v>
      </c>
      <c r="C17" s="2">
        <f>C7/10</f>
        <v>1</v>
      </c>
      <c r="D17" s="5" t="s">
        <v>9</v>
      </c>
    </row>
    <row r="18" spans="2:10" x14ac:dyDescent="0.25">
      <c r="B18" s="1"/>
      <c r="C18" s="1"/>
      <c r="D18" s="1"/>
    </row>
    <row r="19" spans="2:10" x14ac:dyDescent="0.25">
      <c r="B19" s="48" t="s">
        <v>103</v>
      </c>
      <c r="C19" s="48"/>
      <c r="D19" s="48"/>
      <c r="E19" s="48"/>
      <c r="F19" s="48"/>
      <c r="G19" s="48"/>
      <c r="H19" s="48"/>
      <c r="I19" s="48"/>
      <c r="J19" s="48"/>
    </row>
    <row r="20" spans="2:10" ht="15" customHeight="1" x14ac:dyDescent="0.25">
      <c r="B20" s="64" t="s">
        <v>79</v>
      </c>
      <c r="C20" s="65"/>
      <c r="D20" s="66"/>
    </row>
    <row r="21" spans="2:10" x14ac:dyDescent="0.25">
      <c r="B21" s="67"/>
      <c r="C21" s="68"/>
      <c r="D21" s="69"/>
    </row>
    <row r="22" spans="2:10" x14ac:dyDescent="0.25">
      <c r="B22" s="67"/>
      <c r="C22" s="68"/>
      <c r="D22" s="69"/>
    </row>
    <row r="23" spans="2:10" x14ac:dyDescent="0.25">
      <c r="B23" s="67"/>
      <c r="C23" s="68"/>
      <c r="D23" s="69"/>
    </row>
    <row r="24" spans="2:10" x14ac:dyDescent="0.25">
      <c r="B24" s="70"/>
      <c r="C24" s="71"/>
      <c r="D24" s="72"/>
    </row>
    <row r="25" spans="2:10" x14ac:dyDescent="0.25">
      <c r="B25" s="21" t="s">
        <v>119</v>
      </c>
      <c r="C25" s="73" t="str">
        <f>IF(Vindlast!E7&lt;=5,"5",IF(Vindlast!E7&lt;=15,"15",IF(Vindlast!E7&lt;=30,"30",IF(Vindlast!E7&lt;=45,"45",IF(Vindlast!E7&lt;=60,"60",IF(Vindlast!E7&lt;=75,"75"))))))</f>
        <v>15</v>
      </c>
      <c r="D25" s="74"/>
    </row>
    <row r="27" spans="2:10" x14ac:dyDescent="0.25">
      <c r="B27" s="61" t="s">
        <v>118</v>
      </c>
      <c r="C27" s="62" t="s">
        <v>55</v>
      </c>
      <c r="D27" s="62" t="s">
        <v>56</v>
      </c>
      <c r="E27" s="62" t="s">
        <v>57</v>
      </c>
      <c r="F27" s="62" t="s">
        <v>58</v>
      </c>
      <c r="G27" s="62" t="s">
        <v>59</v>
      </c>
      <c r="J27" t="s">
        <v>121</v>
      </c>
    </row>
    <row r="28" spans="2:10" x14ac:dyDescent="0.25">
      <c r="B28" s="48"/>
      <c r="C28" s="62"/>
      <c r="D28" s="62"/>
      <c r="E28" s="62"/>
      <c r="F28" s="62"/>
      <c r="G28" s="62"/>
    </row>
    <row r="29" spans="2:10" x14ac:dyDescent="0.25">
      <c r="B29" s="62">
        <v>5</v>
      </c>
      <c r="C29" s="20">
        <v>-1.7</v>
      </c>
      <c r="D29" s="20" t="s">
        <v>67</v>
      </c>
      <c r="E29" s="20" t="s">
        <v>69</v>
      </c>
      <c r="F29" s="63" t="s">
        <v>69</v>
      </c>
      <c r="G29" s="20" t="s">
        <v>69</v>
      </c>
    </row>
    <row r="30" spans="2:10" x14ac:dyDescent="0.25">
      <c r="B30" s="62"/>
      <c r="C30" s="20" t="s">
        <v>60</v>
      </c>
      <c r="D30" s="20" t="s">
        <v>60</v>
      </c>
      <c r="E30" s="20" t="s">
        <v>60</v>
      </c>
      <c r="F30" s="63"/>
      <c r="G30" s="20" t="s">
        <v>65</v>
      </c>
    </row>
    <row r="31" spans="2:10" x14ac:dyDescent="0.25">
      <c r="B31" s="62">
        <v>15</v>
      </c>
      <c r="C31" s="20" t="s">
        <v>64</v>
      </c>
      <c r="D31" s="20" t="s">
        <v>68</v>
      </c>
      <c r="E31" s="20" t="s">
        <v>70</v>
      </c>
      <c r="F31" s="20" t="s">
        <v>74</v>
      </c>
      <c r="G31" s="20" t="s">
        <v>76</v>
      </c>
    </row>
    <row r="32" spans="2:10" x14ac:dyDescent="0.25">
      <c r="B32" s="62"/>
      <c r="C32" s="20" t="s">
        <v>65</v>
      </c>
      <c r="D32" s="20" t="s">
        <v>65</v>
      </c>
      <c r="E32" s="20" t="s">
        <v>65</v>
      </c>
      <c r="F32" s="20" t="s">
        <v>75</v>
      </c>
      <c r="G32" s="20" t="s">
        <v>60</v>
      </c>
    </row>
    <row r="33" spans="2:20" x14ac:dyDescent="0.25">
      <c r="B33" s="62">
        <v>30</v>
      </c>
      <c r="C33" s="20" t="s">
        <v>61</v>
      </c>
      <c r="D33" s="20" t="s">
        <v>61</v>
      </c>
      <c r="E33" s="20" t="s">
        <v>71</v>
      </c>
      <c r="F33" s="20" t="s">
        <v>74</v>
      </c>
      <c r="G33" s="20" t="s">
        <v>61</v>
      </c>
      <c r="J33" s="76" t="s">
        <v>120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</row>
    <row r="34" spans="2:20" x14ac:dyDescent="0.25">
      <c r="B34" s="62"/>
      <c r="C34" s="20" t="s">
        <v>62</v>
      </c>
      <c r="D34" s="20" t="s">
        <v>62</v>
      </c>
      <c r="E34" s="20" t="s">
        <v>72</v>
      </c>
      <c r="F34" s="20" t="s">
        <v>60</v>
      </c>
      <c r="G34" s="20" t="s">
        <v>77</v>
      </c>
    </row>
    <row r="35" spans="2:20" x14ac:dyDescent="0.25">
      <c r="B35" s="62">
        <v>45</v>
      </c>
      <c r="C35" s="20" t="s">
        <v>63</v>
      </c>
      <c r="D35" s="20" t="s">
        <v>63</v>
      </c>
      <c r="E35" s="20" t="s">
        <v>63</v>
      </c>
      <c r="F35" s="20" t="s">
        <v>71</v>
      </c>
      <c r="G35" s="20" t="s">
        <v>70</v>
      </c>
    </row>
    <row r="36" spans="2:20" x14ac:dyDescent="0.25">
      <c r="B36" s="62"/>
      <c r="C36" s="20" t="s">
        <v>62</v>
      </c>
      <c r="D36" s="20" t="s">
        <v>62</v>
      </c>
      <c r="E36" s="20" t="s">
        <v>73</v>
      </c>
      <c r="F36" s="20" t="s">
        <v>60</v>
      </c>
      <c r="G36" s="20" t="s">
        <v>60</v>
      </c>
    </row>
    <row r="37" spans="2:20" x14ac:dyDescent="0.25">
      <c r="B37" s="19">
        <v>60</v>
      </c>
      <c r="C37" s="20" t="s">
        <v>62</v>
      </c>
      <c r="D37" s="20" t="s">
        <v>62</v>
      </c>
      <c r="E37" s="20" t="s">
        <v>62</v>
      </c>
      <c r="F37" s="20" t="s">
        <v>71</v>
      </c>
      <c r="G37" s="20" t="s">
        <v>70</v>
      </c>
    </row>
    <row r="38" spans="2:20" x14ac:dyDescent="0.25">
      <c r="B38" s="19">
        <v>75</v>
      </c>
      <c r="C38" s="20" t="s">
        <v>66</v>
      </c>
      <c r="D38" s="20" t="s">
        <v>66</v>
      </c>
      <c r="E38" s="20" t="s">
        <v>66</v>
      </c>
      <c r="F38" s="20" t="s">
        <v>71</v>
      </c>
      <c r="G38" s="20" t="s">
        <v>70</v>
      </c>
    </row>
    <row r="39" spans="2:20" x14ac:dyDescent="0.25">
      <c r="B39" s="18"/>
      <c r="C39" s="18"/>
      <c r="D39" s="18"/>
      <c r="E39" s="18"/>
      <c r="F39" s="18"/>
      <c r="G39" s="18"/>
    </row>
    <row r="40" spans="2:20" ht="15" customHeight="1" x14ac:dyDescent="0.25">
      <c r="B40" s="61" t="s">
        <v>118</v>
      </c>
      <c r="C40" s="62" t="s">
        <v>55</v>
      </c>
      <c r="D40" s="62" t="s">
        <v>56</v>
      </c>
      <c r="E40" s="62" t="s">
        <v>57</v>
      </c>
      <c r="F40" s="62" t="s">
        <v>58</v>
      </c>
      <c r="G40" s="62" t="s">
        <v>59</v>
      </c>
    </row>
    <row r="41" spans="2:20" x14ac:dyDescent="0.25">
      <c r="B41" s="48"/>
      <c r="C41" s="62"/>
      <c r="D41" s="62"/>
      <c r="E41" s="62"/>
      <c r="F41" s="62"/>
      <c r="G41" s="62"/>
    </row>
    <row r="42" spans="2:20" x14ac:dyDescent="0.25">
      <c r="B42" s="60">
        <f>Vindlast!E7</f>
        <v>10</v>
      </c>
      <c r="C42" s="41">
        <f>IF(B42&lt;=B29,Vindlast!D41*C29,IF(B42&lt;=B31,C31*Vindlast!D41,IF(B33&lt;=B42,C33*Vindlast!D41,IF(B42&lt;=B35,C35*Vindlast!D41,IF(B42&lt;=B37,C37*Vindlast!D41,IF(B42&lt;=B38,C38*Vindlast!D41))))))</f>
        <v>-0.88407387181517116</v>
      </c>
      <c r="D42" s="41">
        <f>IF(B42&lt;=B29,Vindlast!D41*D29,IF(B42&lt;=B31,D31*Vindlast!D41,IF(B33&lt;=B42,D33*Vindlast!D41,IF(B42&lt;=B35,D35*Vindlast!D41,IF(B42&lt;=B37,D37*Vindlast!D41,IF(B42&lt;=B38,D38*Vindlast!D41))))))</f>
        <v>-0.78584344161348552</v>
      </c>
      <c r="E42" s="41">
        <f>IF(B42&lt;=B29,Vindlast!D41*E29,IF(B42&lt;=B31,E31*Vindlast!D41,IF(B33&lt;=B42,E33*Vindlast!D41,IF(B42&lt;=B35,E35*Vindlast!D41,IF(B42&lt;=B37,E37*Vindlast!D41,IF(B42&lt;=B38,E38*Vindlast!D41))))))</f>
        <v>-0.29469129060505705</v>
      </c>
      <c r="F42" s="41">
        <f>IF(B42&lt;=B29,Vindlast!D41*F29,IF(B42&lt;=B31,F31*Vindlast!D41,IF(B33&lt;=B42,F33*Vindlast!D41,IF(B42&lt;=B35,F35*Vindlast!D41,IF(B42&lt;=B37,F37*Vindlast!D41,IF(B42&lt;=B38,F38*Vindlast!D41))))))</f>
        <v>-0.39292172080674276</v>
      </c>
      <c r="G42" s="41">
        <f>IF(B42&lt;=B29,Vindlast!D41*G29,IF(B42&lt;=B31,G31*Vindlast!D41,IF(B33&lt;=B42,G33*Vindlast!D41,IF(B42&lt;=B35,G35*Vindlast!D41,IF(B42&lt;=B37,G37*Vindlast!D41,IF(B42&lt;=B38,G38*Vindlast!D41))))))</f>
        <v>-0.98230430201685681</v>
      </c>
    </row>
    <row r="43" spans="2:20" x14ac:dyDescent="0.25">
      <c r="B43" s="60"/>
      <c r="C43" s="41">
        <f>IF(B42&lt;=B29,Vindlast!D41*C30,IF(B42&lt;=B31,C32*Vindlast!D41,IF(B33&lt;=B42,C34*Vindlast!D41,IF(B42&lt;=B35,C36*Vindlast!D41,IF(B42&lt;=B37,C37*Vindlast!D41,IF(B42&lt;=B38,C38*Vindlast!D41))))))</f>
        <v>0.19646086040337138</v>
      </c>
      <c r="D43" s="41">
        <f>IF(B42&lt;=B29,Vindlast!D41*D30,IF(B42&lt;=B31,D32*Vindlast!D41,IF(B33&lt;=B42,D34*Vindlast!D41,IF(B42&lt;=B35,D36*Vindlast!D41,IF(B42&lt;=B37,D37*Vindlast!D41,IF(B42&lt;=B38,D38*Vindlast!D41))))))</f>
        <v>0.19646086040337138</v>
      </c>
      <c r="E43" s="41">
        <f>IF(B42&lt;=B29,Vindlast!D41*E30,IF(B42&lt;=B31,E32*Vindlast!D41,IF(B33&lt;=B42,E34*Vindlast!D41,IF(B42&lt;=B35,E36*Vindlast!D41,IF(B42&lt;=B37,E37*Vindlast!D41,IF(B42&lt;=B38,E38*Vindlast!D41))))))</f>
        <v>0.19646086040337138</v>
      </c>
      <c r="F43" s="41" t="e">
        <f>IF(B42&lt;=B29,Vindlast!D41*F29,IF(B42&lt;=B31,F32*Vindlast!D41,IF(B33&lt;=B42,F34*Vindlast!D41,IF(B42&lt;=B35,F36*Vindlast!D41,IF(B42&lt;=B37,F37*Vindlast!D41,IF(B42&lt;=B38,F38*Vindlast!D41))))))</f>
        <v>#VALUE!</v>
      </c>
      <c r="G43" s="41">
        <f>IF(B42&lt;=B29,Vindlast!D41*G30,IF(B42&lt;=B31,G32*Vindlast!D41,IF(B33&lt;=B42,G34*Vindlast!D41,IF(B42&lt;=B35,G36*Vindlast!D41,IF(B42&lt;=B37,G37*Vindlast!D41,IF(B42&lt;=B38,G38*Vindlast!D41))))))</f>
        <v>0</v>
      </c>
    </row>
  </sheetData>
  <mergeCells count="25">
    <mergeCell ref="J33:T33"/>
    <mergeCell ref="A1:N2"/>
    <mergeCell ref="B3:N3"/>
    <mergeCell ref="F29:F30"/>
    <mergeCell ref="B29:B30"/>
    <mergeCell ref="B19:J19"/>
    <mergeCell ref="B6:D6"/>
    <mergeCell ref="B27:B28"/>
    <mergeCell ref="C27:C28"/>
    <mergeCell ref="D27:D28"/>
    <mergeCell ref="E27:E28"/>
    <mergeCell ref="F27:F28"/>
    <mergeCell ref="G27:G28"/>
    <mergeCell ref="B20:D24"/>
    <mergeCell ref="C25:D25"/>
    <mergeCell ref="F40:F41"/>
    <mergeCell ref="G40:G41"/>
    <mergeCell ref="B31:B32"/>
    <mergeCell ref="B33:B34"/>
    <mergeCell ref="B35:B36"/>
    <mergeCell ref="B42:B43"/>
    <mergeCell ref="B40:B41"/>
    <mergeCell ref="C40:C41"/>
    <mergeCell ref="D40:D41"/>
    <mergeCell ref="E40:E41"/>
  </mergeCells>
  <conditionalFormatting sqref="B29:G30">
    <cfRule type="expression" dxfId="5" priority="3">
      <formula>$C$25=$B$29</formula>
    </cfRule>
  </conditionalFormatting>
  <conditionalFormatting sqref="B31:G32">
    <cfRule type="expression" dxfId="4" priority="2">
      <formula>$C$25=$B$31</formula>
    </cfRule>
  </conditionalFormatting>
  <conditionalFormatting sqref="B33:G34 J33">
    <cfRule type="expression" dxfId="3" priority="1">
      <formula>$C$25=$B$33</formula>
    </cfRule>
  </conditionalFormatting>
  <conditionalFormatting sqref="B35:G36">
    <cfRule type="expression" dxfId="2" priority="6">
      <formula>$C$25=$B$35</formula>
    </cfRule>
  </conditionalFormatting>
  <conditionalFormatting sqref="B37:G37">
    <cfRule type="expression" dxfId="1" priority="5">
      <formula>$C$25=$B$37</formula>
    </cfRule>
  </conditionalFormatting>
  <conditionalFormatting sqref="B38:G38">
    <cfRule type="expression" dxfId="0" priority="4">
      <formula>$C$25=$B$38</formula>
    </cfRule>
  </conditionalFormatting>
  <pageMargins left="0.7" right="0.7" top="0.75" bottom="0.75" header="0.3" footer="0.3"/>
  <ignoredErrors>
    <ignoredError sqref="B29:G38" numberStoredAsText="1"/>
    <ignoredError sqref="C13:C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Vindlast</vt:lpstr>
      <vt:lpstr>Saddeltag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 (339098)</dc:creator>
  <cp:lastModifiedBy>Michael Pedersen (339098)</cp:lastModifiedBy>
  <dcterms:created xsi:type="dcterms:W3CDTF">2025-01-13T06:43:01Z</dcterms:created>
  <dcterms:modified xsi:type="dcterms:W3CDTF">2025-02-01T04:53:54Z</dcterms:modified>
</cp:coreProperties>
</file>