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ti\Desktop\"/>
    </mc:Choice>
  </mc:AlternateContent>
  <xr:revisionPtr revIDLastSave="0" documentId="13_ncr:1_{7B82EF3A-CB1F-4AB0-A460-3BCA660C181D}" xr6:coauthVersionLast="47" xr6:coauthVersionMax="47" xr10:uidLastSave="{00000000-0000-0000-0000-000000000000}"/>
  <bookViews>
    <workbookView xWindow="-120" yWindow="-120" windowWidth="29040" windowHeight="15720" xr2:uid="{732DA85E-6DD8-407F-8E26-78297EA254B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I14" i="1"/>
  <c r="P35" i="1"/>
  <c r="P32" i="1"/>
  <c r="K32" i="1"/>
  <c r="J32" i="1"/>
  <c r="I32" i="1"/>
  <c r="H32" i="1"/>
  <c r="G32" i="1"/>
  <c r="F32" i="1"/>
  <c r="E32" i="1"/>
  <c r="A32" i="1"/>
  <c r="K31" i="1"/>
  <c r="J31" i="1"/>
  <c r="I31" i="1"/>
  <c r="H31" i="1"/>
  <c r="G31" i="1"/>
  <c r="F31" i="1"/>
  <c r="E31" i="1"/>
  <c r="A31" i="1"/>
  <c r="K30" i="1"/>
  <c r="J30" i="1"/>
  <c r="I30" i="1"/>
  <c r="H30" i="1"/>
  <c r="G30" i="1"/>
  <c r="F30" i="1"/>
  <c r="E30" i="1"/>
  <c r="A30" i="1"/>
  <c r="K29" i="1"/>
  <c r="J29" i="1"/>
  <c r="I29" i="1"/>
  <c r="H29" i="1"/>
  <c r="G29" i="1"/>
  <c r="F29" i="1"/>
  <c r="E29" i="1"/>
  <c r="A29" i="1"/>
  <c r="K28" i="1"/>
  <c r="J28" i="1"/>
  <c r="I28" i="1"/>
  <c r="H28" i="1"/>
  <c r="G28" i="1"/>
  <c r="F28" i="1"/>
  <c r="E28" i="1"/>
  <c r="A28" i="1"/>
  <c r="M27" i="1"/>
  <c r="K27" i="1"/>
  <c r="J27" i="1"/>
  <c r="I27" i="1"/>
  <c r="H27" i="1"/>
  <c r="G27" i="1"/>
  <c r="F27" i="1"/>
  <c r="E27" i="1"/>
  <c r="A27" i="1"/>
  <c r="O26" i="1"/>
  <c r="K26" i="1"/>
  <c r="J26" i="1"/>
  <c r="I26" i="1"/>
  <c r="H26" i="1"/>
  <c r="G26" i="1"/>
  <c r="F26" i="1"/>
  <c r="E26" i="1"/>
  <c r="A26" i="1"/>
  <c r="K25" i="1"/>
  <c r="J25" i="1"/>
  <c r="I25" i="1"/>
  <c r="H25" i="1"/>
  <c r="G25" i="1"/>
  <c r="F25" i="1"/>
  <c r="E25" i="1"/>
  <c r="A25" i="1"/>
  <c r="M24" i="1"/>
  <c r="K24" i="1"/>
  <c r="J24" i="1"/>
  <c r="I24" i="1"/>
  <c r="H24" i="1"/>
  <c r="G24" i="1"/>
  <c r="F24" i="1"/>
  <c r="E24" i="1"/>
  <c r="A24" i="1"/>
  <c r="K23" i="1"/>
  <c r="J23" i="1"/>
  <c r="I23" i="1"/>
  <c r="H23" i="1"/>
  <c r="G23" i="1"/>
  <c r="F23" i="1"/>
  <c r="E23" i="1"/>
  <c r="A23" i="1"/>
  <c r="K22" i="1"/>
  <c r="J22" i="1"/>
  <c r="I22" i="1"/>
  <c r="H22" i="1"/>
  <c r="G22" i="1"/>
  <c r="F22" i="1"/>
  <c r="E22" i="1"/>
  <c r="A22" i="1"/>
  <c r="K21" i="1"/>
  <c r="J21" i="1"/>
  <c r="I21" i="1"/>
  <c r="H21" i="1"/>
  <c r="G21" i="1"/>
  <c r="F21" i="1"/>
  <c r="E21" i="1"/>
  <c r="A21" i="1"/>
  <c r="K20" i="1"/>
  <c r="J20" i="1"/>
  <c r="I20" i="1"/>
  <c r="H20" i="1"/>
  <c r="G20" i="1"/>
  <c r="F20" i="1"/>
  <c r="E20" i="1"/>
  <c r="A20" i="1"/>
  <c r="K19" i="1"/>
  <c r="J19" i="1"/>
  <c r="I19" i="1"/>
  <c r="H19" i="1"/>
  <c r="G19" i="1"/>
  <c r="F19" i="1"/>
  <c r="E19" i="1"/>
  <c r="A19" i="1"/>
  <c r="K18" i="1"/>
  <c r="J18" i="1"/>
  <c r="I18" i="1"/>
  <c r="H18" i="1"/>
  <c r="G18" i="1"/>
  <c r="F18" i="1"/>
  <c r="E18" i="1"/>
  <c r="A18" i="1"/>
  <c r="K17" i="1"/>
  <c r="J17" i="1"/>
  <c r="I17" i="1"/>
  <c r="H17" i="1"/>
  <c r="G17" i="1"/>
  <c r="F17" i="1"/>
  <c r="E17" i="1"/>
  <c r="A17" i="1"/>
  <c r="K16" i="1"/>
  <c r="J16" i="1"/>
  <c r="I16" i="1"/>
  <c r="H16" i="1"/>
  <c r="G16" i="1"/>
  <c r="F16" i="1"/>
  <c r="E16" i="1"/>
  <c r="A16" i="1"/>
  <c r="K15" i="1"/>
  <c r="J15" i="1"/>
  <c r="I15" i="1"/>
  <c r="H15" i="1"/>
  <c r="G15" i="1"/>
  <c r="F15" i="1"/>
  <c r="E15" i="1"/>
  <c r="A15" i="1"/>
  <c r="H14" i="1"/>
  <c r="E14" i="1"/>
  <c r="F14" i="1" s="1"/>
  <c r="A14" i="1"/>
  <c r="I13" i="1"/>
  <c r="H13" i="1"/>
  <c r="G13" i="1"/>
  <c r="E13" i="1"/>
  <c r="F13" i="1" s="1"/>
  <c r="A13" i="1"/>
  <c r="I12" i="1"/>
  <c r="H12" i="1"/>
  <c r="G12" i="1"/>
  <c r="F12" i="1"/>
  <c r="K12" i="1" s="1"/>
  <c r="E12" i="1"/>
  <c r="A12" i="1"/>
  <c r="K11" i="1"/>
  <c r="J11" i="1"/>
  <c r="I11" i="1"/>
  <c r="H11" i="1"/>
  <c r="G11" i="1"/>
  <c r="F11" i="1"/>
  <c r="E11" i="1"/>
  <c r="A11" i="1"/>
  <c r="K10" i="1"/>
  <c r="J10" i="1"/>
  <c r="I10" i="1"/>
  <c r="H10" i="1"/>
  <c r="G10" i="1"/>
  <c r="F10" i="1"/>
  <c r="E10" i="1"/>
  <c r="A10" i="1"/>
  <c r="I9" i="1"/>
  <c r="H9" i="1"/>
  <c r="E9" i="1"/>
  <c r="G9" i="1" s="1"/>
  <c r="A9" i="1"/>
  <c r="I8" i="1"/>
  <c r="H8" i="1"/>
  <c r="E8" i="1"/>
  <c r="G8" i="1" s="1"/>
  <c r="A8" i="1"/>
  <c r="I7" i="1"/>
  <c r="H7" i="1"/>
  <c r="G7" i="1"/>
  <c r="E7" i="1"/>
  <c r="F7" i="1" s="1"/>
  <c r="A7" i="1"/>
  <c r="I6" i="1"/>
  <c r="H6" i="1"/>
  <c r="E6" i="1"/>
  <c r="G6" i="1" s="1"/>
  <c r="A6" i="1"/>
  <c r="I5" i="1"/>
  <c r="H5" i="1"/>
  <c r="G5" i="1"/>
  <c r="F5" i="1"/>
  <c r="K5" i="1" s="1"/>
  <c r="E5" i="1"/>
  <c r="A5" i="1"/>
  <c r="K4" i="1"/>
  <c r="J4" i="1"/>
  <c r="I4" i="1"/>
  <c r="H4" i="1"/>
  <c r="G4" i="1"/>
  <c r="F4" i="1"/>
  <c r="E4" i="1"/>
  <c r="A4" i="1"/>
  <c r="K3" i="1"/>
  <c r="J3" i="1"/>
  <c r="I3" i="1"/>
  <c r="H3" i="1"/>
  <c r="G3" i="1"/>
  <c r="F3" i="1"/>
  <c r="E3" i="1"/>
  <c r="A3" i="1"/>
  <c r="I2" i="1"/>
  <c r="H2" i="1"/>
  <c r="H33" i="1" s="1"/>
  <c r="O4" i="1" s="1"/>
  <c r="T4" i="1" s="1"/>
  <c r="G2" i="1"/>
  <c r="E2" i="1"/>
  <c r="F2" i="1" s="1"/>
  <c r="A2" i="1"/>
  <c r="I33" i="1" l="1"/>
  <c r="O5" i="1" s="1"/>
  <c r="T5" i="1" s="1"/>
  <c r="K7" i="1"/>
  <c r="J7" i="1"/>
  <c r="K2" i="1"/>
  <c r="J2" i="1"/>
  <c r="K13" i="1"/>
  <c r="J13" i="1"/>
  <c r="K14" i="1"/>
  <c r="J14" i="1"/>
  <c r="G14" i="1"/>
  <c r="G33" i="1" s="1"/>
  <c r="J5" i="1"/>
  <c r="J12" i="1"/>
  <c r="F9" i="1"/>
  <c r="F6" i="1"/>
  <c r="F8" i="1"/>
  <c r="K6" i="1" l="1"/>
  <c r="J6" i="1"/>
  <c r="K8" i="1"/>
  <c r="J8" i="1"/>
  <c r="K9" i="1"/>
  <c r="J9" i="1"/>
  <c r="J33" i="1" s="1"/>
  <c r="O6" i="1" s="1"/>
  <c r="T6" i="1" s="1"/>
  <c r="F33" i="1"/>
  <c r="O3" i="1" s="1"/>
  <c r="K33" i="1"/>
  <c r="O7" i="1" s="1"/>
  <c r="T7" i="1" s="1"/>
  <c r="P36" i="1" l="1"/>
  <c r="T3" i="1"/>
  <c r="P34" i="1" l="1"/>
  <c r="T8" i="1"/>
  <c r="T11" i="1" l="1"/>
  <c r="O23" i="1"/>
  <c r="U34" i="1" l="1"/>
  <c r="O24" i="1"/>
  <c r="O25" i="1" s="1"/>
  <c r="S13" i="1"/>
  <c r="U33" i="1" s="1"/>
  <c r="P33" i="1"/>
  <c r="O27" i="1" l="1"/>
  <c r="O28" i="1"/>
  <c r="U35" i="1" s="1"/>
  <c r="T15" i="1"/>
  <c r="T16" i="1" l="1"/>
  <c r="S19" i="1" s="1"/>
  <c r="U32" i="1" l="1"/>
  <c r="T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Bastian Løv Harries</author>
    <author>Author</author>
  </authors>
  <commentList>
    <comment ref="H1" authorId="0" shapeId="0" xr:uid="{25E18599-5A02-4C5D-A099-D2EA0B7C7E3A}">
      <text>
        <r>
          <rPr>
            <b/>
            <sz val="9"/>
            <color indexed="81"/>
            <rFont val="Tahoma"/>
            <charset val="1"/>
          </rPr>
          <t>Bastian Løv Harries:</t>
        </r>
        <r>
          <rPr>
            <sz val="9"/>
            <color indexed="81"/>
            <rFont val="Tahoma"/>
            <charset val="1"/>
          </rPr>
          <t xml:space="preserve">
18:00 - 22:00</t>
        </r>
      </text>
    </comment>
    <comment ref="I1" authorId="0" shapeId="0" xr:uid="{3FA5D518-B505-4809-88B7-3F2099C3B03A}">
      <text>
        <r>
          <rPr>
            <b/>
            <sz val="9"/>
            <color indexed="81"/>
            <rFont val="Tahoma"/>
            <charset val="1"/>
          </rPr>
          <t>Bastian Løv Harries:</t>
        </r>
        <r>
          <rPr>
            <sz val="9"/>
            <color indexed="81"/>
            <rFont val="Tahoma"/>
            <charset val="1"/>
          </rPr>
          <t xml:space="preserve">
22:00 - 06:00</t>
        </r>
      </text>
    </comment>
    <comment ref="M3" authorId="0" shapeId="0" xr:uid="{E0F6BF99-695F-41CA-8D52-501790189D81}">
      <text>
        <r>
          <rPr>
            <b/>
            <sz val="9"/>
            <color indexed="81"/>
            <rFont val="Tahoma"/>
            <charset val="1"/>
          </rPr>
          <t>Bastian Løv Harries:</t>
        </r>
        <r>
          <rPr>
            <sz val="9"/>
            <color indexed="81"/>
            <rFont val="Tahoma"/>
            <charset val="1"/>
          </rPr>
          <t xml:space="preserve">
Timer i alt</t>
        </r>
      </text>
    </comment>
    <comment ref="M4" authorId="0" shapeId="0" xr:uid="{0CE2E94F-2DAE-46AE-9EFB-5F2A31B495CB}">
      <text>
        <r>
          <rPr>
            <b/>
            <sz val="9"/>
            <color indexed="81"/>
            <rFont val="Tahoma"/>
            <family val="2"/>
          </rPr>
          <t>Bastian Løv Harries:</t>
        </r>
        <r>
          <rPr>
            <sz val="9"/>
            <color indexed="81"/>
            <rFont val="Tahoma"/>
            <family val="2"/>
          </rPr>
          <t xml:space="preserve">
18:00 til 22:00</t>
        </r>
      </text>
    </comment>
    <comment ref="M5" authorId="0" shapeId="0" xr:uid="{D7089611-46EA-4D92-9EF0-BB0D85E41846}">
      <text>
        <r>
          <rPr>
            <b/>
            <sz val="9"/>
            <color indexed="81"/>
            <rFont val="Tahoma"/>
            <family val="2"/>
          </rPr>
          <t>Bastian Løv Harries:</t>
        </r>
        <r>
          <rPr>
            <sz val="9"/>
            <color indexed="81"/>
            <rFont val="Tahoma"/>
            <family val="2"/>
          </rPr>
          <t xml:space="preserve">
22:00 til 06:00</t>
        </r>
      </text>
    </comment>
    <comment ref="M6" authorId="0" shapeId="0" xr:uid="{B62EA233-99D8-427F-AEBE-0044A641F797}">
      <text>
        <r>
          <rPr>
            <b/>
            <sz val="9"/>
            <color indexed="81"/>
            <rFont val="Tahoma"/>
            <family val="2"/>
          </rPr>
          <t>Bastian Løv Harries:</t>
        </r>
        <r>
          <rPr>
            <sz val="9"/>
            <color indexed="81"/>
            <rFont val="Tahoma"/>
            <family val="2"/>
          </rPr>
          <t xml:space="preserve">
Første og anden klokketime efter normal arbejdstid</t>
        </r>
      </text>
    </comment>
    <comment ref="M7" authorId="0" shapeId="0" xr:uid="{689E2B10-7585-46C5-9212-2ACE52FB85F0}">
      <text>
        <r>
          <rPr>
            <b/>
            <sz val="9"/>
            <color indexed="81"/>
            <rFont val="Tahoma"/>
            <family val="2"/>
          </rPr>
          <t>Bastian Løv Harries:</t>
        </r>
        <r>
          <rPr>
            <sz val="9"/>
            <color indexed="81"/>
            <rFont val="Tahoma"/>
            <family val="2"/>
          </rPr>
          <t xml:space="preserve">
Tredje og fjerde klokketime efter normal arbejdstid</t>
        </r>
      </text>
    </comment>
    <comment ref="O17" authorId="1" shapeId="0" xr:uid="{A39671EF-5248-4F06-816B-23D577BAFA91}">
      <text>
        <r>
          <rPr>
            <b/>
            <sz val="9"/>
            <color indexed="81"/>
            <rFont val="Tahoma"/>
            <family val="2"/>
          </rPr>
          <t>Indtast lønmodtageren skattefradrag, denne vil fremgå af skattekortet.</t>
        </r>
      </text>
    </comment>
    <comment ref="M19" authorId="1" shapeId="0" xr:uid="{74D53081-95B2-44A2-8198-3AE48B91BDA7}">
      <text>
        <r>
          <rPr>
            <b/>
            <sz val="9"/>
            <color indexed="81"/>
            <rFont val="Tahoma"/>
            <family val="2"/>
          </rPr>
          <t>Indtast lønmodtageren skatteprocent, denne vil fremgå af skattekortet.</t>
        </r>
      </text>
    </comment>
  </commentList>
</comments>
</file>

<file path=xl/sharedStrings.xml><?xml version="1.0" encoding="utf-8"?>
<sst xmlns="http://schemas.openxmlformats.org/spreadsheetml/2006/main" count="47" uniqueCount="37">
  <si>
    <t>Ugedag</t>
  </si>
  <si>
    <t>Dato</t>
  </si>
  <si>
    <t>Start tid</t>
  </si>
  <si>
    <t>Slut tid</t>
  </si>
  <si>
    <t>Pauser</t>
  </si>
  <si>
    <t>timer i alt</t>
  </si>
  <si>
    <t>dag timer</t>
  </si>
  <si>
    <t>Aften timer</t>
  </si>
  <si>
    <t>Nat timer</t>
  </si>
  <si>
    <t>Overarbejde 1</t>
  </si>
  <si>
    <t>Overarbejde 2</t>
  </si>
  <si>
    <t>Lønperiode:</t>
  </si>
  <si>
    <t>okt/nov 2023</t>
  </si>
  <si>
    <t>Arbejdstimer</t>
  </si>
  <si>
    <t>sats kr.</t>
  </si>
  <si>
    <t>Aften tillægstimer</t>
  </si>
  <si>
    <t>Nat tillægstimer</t>
  </si>
  <si>
    <t xml:space="preserve"> - ATP-bidrag, lønmodtager</t>
  </si>
  <si>
    <t xml:space="preserve"> AM-bidragsgrundlag</t>
  </si>
  <si>
    <t xml:space="preserve">AM-bidrag </t>
  </si>
  <si>
    <t xml:space="preserve"> A-indkomst</t>
  </si>
  <si>
    <t>Benyttet skattefradrag</t>
  </si>
  <si>
    <t>A-skat</t>
  </si>
  <si>
    <t>Løn til udbetaling</t>
  </si>
  <si>
    <t xml:space="preserve"> Feriepenge</t>
  </si>
  <si>
    <t>AM-bidrag</t>
  </si>
  <si>
    <t xml:space="preserve"> Skattefradrag</t>
  </si>
  <si>
    <t xml:space="preserve"> Nettoferiepenge</t>
  </si>
  <si>
    <t>År til dato</t>
  </si>
  <si>
    <t>Arbejdstimer i alt</t>
  </si>
  <si>
    <t>I ALT</t>
  </si>
  <si>
    <t>AM-bidragsgrundlag</t>
  </si>
  <si>
    <t>Feriepengegrundlag</t>
  </si>
  <si>
    <t>Feriepenge, brutto</t>
  </si>
  <si>
    <t>ATP-bidrag, lønmodtager</t>
  </si>
  <si>
    <t>Feriepenge, netto</t>
  </si>
  <si>
    <t>ATP-bidrag, arbejdsgiver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</si>
</sst>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6]mmmm\ yyyy;@"/>
    <numFmt numFmtId="165" formatCode="[h]:mm"/>
    <numFmt numFmtId="166" formatCode="h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theme="1"/>
      </patternFill>
    </fill>
    <fill>
      <patternFill patternType="solid">
        <fgColor rgb="FF2F474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3" fillId="0" borderId="4" xfId="0" applyFont="1" applyBorder="1"/>
    <xf numFmtId="49" fontId="4" fillId="3" borderId="6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" fillId="0" borderId="0" xfId="0" applyFont="1"/>
    <xf numFmtId="0" fontId="3" fillId="4" borderId="8" xfId="0" applyFont="1" applyFill="1" applyBorder="1"/>
    <xf numFmtId="14" fontId="1" fillId="4" borderId="9" xfId="0" applyNumberFormat="1" applyFont="1" applyFill="1" applyBorder="1"/>
    <xf numFmtId="165" fontId="0" fillId="4" borderId="9" xfId="0" applyNumberFormat="1" applyFill="1" applyBorder="1"/>
    <xf numFmtId="165" fontId="0" fillId="4" borderId="9" xfId="0" applyNumberFormat="1" applyFill="1" applyBorder="1" applyAlignment="1">
      <alignment horizontal="right"/>
    </xf>
    <xf numFmtId="2" fontId="0" fillId="4" borderId="9" xfId="0" applyNumberFormat="1" applyFill="1" applyBorder="1" applyAlignment="1">
      <alignment wrapText="1"/>
    </xf>
    <xf numFmtId="2" fontId="0" fillId="4" borderId="9" xfId="0" applyNumberFormat="1" applyFill="1" applyBorder="1"/>
    <xf numFmtId="2" fontId="0" fillId="4" borderId="10" xfId="0" applyNumberFormat="1" applyFill="1" applyBorder="1"/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165" fontId="0" fillId="0" borderId="9" xfId="0" applyNumberFormat="1" applyBorder="1"/>
    <xf numFmtId="165" fontId="0" fillId="6" borderId="9" xfId="0" applyNumberFormat="1" applyFill="1" applyBorder="1" applyAlignment="1">
      <alignment horizontal="right"/>
    </xf>
    <xf numFmtId="2" fontId="0" fillId="6" borderId="9" xfId="0" applyNumberFormat="1" applyFill="1" applyBorder="1" applyAlignment="1">
      <alignment wrapText="1"/>
    </xf>
    <xf numFmtId="2" fontId="0" fillId="6" borderId="9" xfId="0" applyNumberFormat="1" applyFill="1" applyBorder="1"/>
    <xf numFmtId="2" fontId="0" fillId="6" borderId="10" xfId="0" applyNumberFormat="1" applyFill="1" applyBorder="1"/>
    <xf numFmtId="165" fontId="0" fillId="6" borderId="0" xfId="0" applyNumberFormat="1" applyFill="1"/>
    <xf numFmtId="0" fontId="3" fillId="7" borderId="12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2" fontId="3" fillId="7" borderId="0" xfId="0" applyNumberFormat="1" applyFont="1" applyFill="1" applyAlignment="1">
      <alignment vertical="center"/>
    </xf>
    <xf numFmtId="4" fontId="3" fillId="7" borderId="0" xfId="0" applyNumberFormat="1" applyFont="1" applyFill="1" applyAlignment="1">
      <alignment vertical="center"/>
    </xf>
    <xf numFmtId="4" fontId="3" fillId="8" borderId="0" xfId="0" applyNumberFormat="1" applyFont="1" applyFill="1" applyAlignment="1">
      <alignment vertical="center"/>
    </xf>
    <xf numFmtId="165" fontId="0" fillId="5" borderId="0" xfId="0" applyNumberFormat="1" applyFill="1"/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4" fontId="3" fillId="5" borderId="0" xfId="0" applyNumberFormat="1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8" borderId="12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vertical="center"/>
    </xf>
    <xf numFmtId="9" fontId="3" fillId="7" borderId="12" xfId="0" applyNumberFormat="1" applyFont="1" applyFill="1" applyBorder="1" applyAlignment="1">
      <alignment vertical="center"/>
    </xf>
    <xf numFmtId="4" fontId="3" fillId="7" borderId="0" xfId="0" applyNumberFormat="1" applyFont="1" applyFill="1" applyAlignment="1">
      <alignment horizontal="left" vertical="center"/>
    </xf>
    <xf numFmtId="3" fontId="3" fillId="7" borderId="0" xfId="0" applyNumberFormat="1" applyFont="1" applyFill="1" applyAlignment="1">
      <alignment vertical="center"/>
    </xf>
    <xf numFmtId="9" fontId="3" fillId="5" borderId="12" xfId="0" applyNumberFormat="1" applyFont="1" applyFill="1" applyBorder="1" applyAlignment="1">
      <alignment horizontal="left" vertical="center"/>
    </xf>
    <xf numFmtId="4" fontId="3" fillId="5" borderId="0" xfId="0" applyNumberFormat="1" applyFont="1" applyFill="1" applyAlignment="1">
      <alignment horizontal="left" vertical="center"/>
    </xf>
    <xf numFmtId="3" fontId="3" fillId="5" borderId="0" xfId="0" applyNumberFormat="1" applyFont="1" applyFill="1" applyAlignment="1">
      <alignment vertical="center"/>
    </xf>
    <xf numFmtId="4" fontId="3" fillId="8" borderId="0" xfId="0" applyNumberFormat="1" applyFont="1" applyFill="1" applyAlignment="1">
      <alignment horizontal="left" vertical="center"/>
    </xf>
    <xf numFmtId="3" fontId="3" fillId="8" borderId="0" xfId="0" applyNumberFormat="1" applyFont="1" applyFill="1" applyAlignment="1">
      <alignment vertical="center"/>
    </xf>
    <xf numFmtId="165" fontId="0" fillId="6" borderId="4" xfId="0" applyNumberFormat="1" applyFill="1" applyBorder="1"/>
    <xf numFmtId="3" fontId="3" fillId="7" borderId="0" xfId="0" applyNumberFormat="1" applyFont="1" applyFill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9" fontId="3" fillId="8" borderId="12" xfId="0" applyNumberFormat="1" applyFont="1" applyFill="1" applyBorder="1" applyAlignment="1">
      <alignment vertical="center"/>
    </xf>
    <xf numFmtId="3" fontId="3" fillId="8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vertical="center"/>
    </xf>
    <xf numFmtId="4" fontId="3" fillId="5" borderId="4" xfId="0" applyNumberFormat="1" applyFont="1" applyFill="1" applyBorder="1" applyAlignment="1">
      <alignment vertical="center"/>
    </xf>
    <xf numFmtId="165" fontId="0" fillId="5" borderId="4" xfId="0" applyNumberFormat="1" applyFill="1" applyBorder="1"/>
    <xf numFmtId="3" fontId="3" fillId="5" borderId="4" xfId="0" applyNumberFormat="1" applyFont="1" applyFill="1" applyBorder="1" applyAlignment="1">
      <alignment vertical="center"/>
    </xf>
    <xf numFmtId="4" fontId="7" fillId="8" borderId="18" xfId="0" applyNumberFormat="1" applyFont="1" applyFill="1" applyBorder="1" applyAlignment="1">
      <alignment vertical="center"/>
    </xf>
    <xf numFmtId="0" fontId="7" fillId="3" borderId="9" xfId="0" applyFont="1" applyFill="1" applyBorder="1"/>
    <xf numFmtId="0" fontId="4" fillId="3" borderId="11" xfId="0" applyFont="1" applyFill="1" applyBorder="1" applyAlignment="1">
      <alignment vertical="center"/>
    </xf>
    <xf numFmtId="0" fontId="3" fillId="3" borderId="11" xfId="0" applyFont="1" applyFill="1" applyBorder="1"/>
    <xf numFmtId="0" fontId="3" fillId="3" borderId="13" xfId="0" applyFont="1" applyFill="1" applyBorder="1"/>
    <xf numFmtId="0" fontId="7" fillId="5" borderId="12" xfId="0" applyFont="1" applyFill="1" applyBorder="1"/>
    <xf numFmtId="0" fontId="3" fillId="5" borderId="0" xfId="0" applyFont="1" applyFill="1"/>
    <xf numFmtId="0" fontId="3" fillId="5" borderId="17" xfId="0" applyFont="1" applyFill="1" applyBorder="1"/>
    <xf numFmtId="0" fontId="3" fillId="5" borderId="4" xfId="0" applyFont="1" applyFill="1" applyBorder="1"/>
    <xf numFmtId="0" fontId="3" fillId="5" borderId="12" xfId="0" applyFont="1" applyFill="1" applyBorder="1"/>
    <xf numFmtId="0" fontId="3" fillId="5" borderId="19" xfId="0" applyFont="1" applyFill="1" applyBorder="1" applyAlignment="1">
      <alignment vertical="center"/>
    </xf>
    <xf numFmtId="3" fontId="3" fillId="9" borderId="13" xfId="0" applyNumberFormat="1" applyFont="1" applyFill="1" applyBorder="1" applyAlignment="1">
      <alignment vertical="center"/>
    </xf>
    <xf numFmtId="0" fontId="3" fillId="5" borderId="19" xfId="0" applyFont="1" applyFill="1" applyBorder="1"/>
    <xf numFmtId="0" fontId="3" fillId="10" borderId="20" xfId="0" applyFont="1" applyFill="1" applyBorder="1"/>
    <xf numFmtId="0" fontId="1" fillId="10" borderId="21" xfId="0" applyFont="1" applyFill="1" applyBorder="1"/>
    <xf numFmtId="165" fontId="1" fillId="10" borderId="21" xfId="0" applyNumberFormat="1" applyFont="1" applyFill="1" applyBorder="1"/>
    <xf numFmtId="2" fontId="1" fillId="10" borderId="21" xfId="0" applyNumberFormat="1" applyFont="1" applyFill="1" applyBorder="1"/>
    <xf numFmtId="2" fontId="1" fillId="10" borderId="22" xfId="0" applyNumberFormat="1" applyFont="1" applyFill="1" applyBorder="1"/>
    <xf numFmtId="165" fontId="1" fillId="5" borderId="0" xfId="0" applyNumberFormat="1" applyFont="1" applyFill="1"/>
    <xf numFmtId="3" fontId="3" fillId="5" borderId="13" xfId="0" applyNumberFormat="1" applyFont="1" applyFill="1" applyBorder="1" applyAlignment="1">
      <alignment vertical="center"/>
    </xf>
    <xf numFmtId="4" fontId="3" fillId="9" borderId="13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4" fontId="3" fillId="5" borderId="13" xfId="0" applyNumberFormat="1" applyFont="1" applyFill="1" applyBorder="1" applyAlignment="1">
      <alignment horizontal="right" vertical="center"/>
    </xf>
    <xf numFmtId="4" fontId="3" fillId="9" borderId="7" xfId="0" applyNumberFormat="1" applyFont="1" applyFill="1" applyBorder="1" applyAlignment="1">
      <alignment horizontal="right" vertical="center"/>
    </xf>
    <xf numFmtId="0" fontId="3" fillId="5" borderId="16" xfId="0" applyFont="1" applyFill="1" applyBorder="1"/>
    <xf numFmtId="0" fontId="3" fillId="5" borderId="18" xfId="0" applyFont="1" applyFill="1" applyBorder="1"/>
    <xf numFmtId="0" fontId="3" fillId="9" borderId="5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4" fontId="3" fillId="9" borderId="6" xfId="0" applyNumberFormat="1" applyFont="1" applyFill="1" applyBorder="1" applyAlignment="1">
      <alignment vertical="center"/>
    </xf>
    <xf numFmtId="4" fontId="3" fillId="9" borderId="7" xfId="0" applyNumberFormat="1" applyFont="1" applyFill="1" applyBorder="1" applyAlignment="1">
      <alignment vertical="center"/>
    </xf>
    <xf numFmtId="4" fontId="3" fillId="9" borderId="11" xfId="0" applyNumberFormat="1" applyFont="1" applyFill="1" applyBorder="1" applyAlignment="1">
      <alignment vertical="center"/>
    </xf>
    <xf numFmtId="4" fontId="3" fillId="9" borderId="13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4" fontId="3" fillId="5" borderId="11" xfId="0" applyNumberFormat="1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4" fontId="7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9" fontId="7" fillId="8" borderId="16" xfId="0" applyNumberFormat="1" applyFont="1" applyFill="1" applyBorder="1" applyAlignment="1">
      <alignment horizontal="left" vertical="center"/>
    </xf>
    <xf numFmtId="9" fontId="7" fillId="8" borderId="17" xfId="0" applyNumberFormat="1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9" fontId="3" fillId="5" borderId="12" xfId="0" applyNumberFormat="1" applyFont="1" applyFill="1" applyBorder="1" applyAlignment="1">
      <alignment horizontal="left" vertical="center"/>
    </xf>
    <xf numFmtId="9" fontId="3" fillId="5" borderId="0" xfId="0" applyNumberFormat="1" applyFont="1" applyFill="1" applyAlignment="1">
      <alignment horizontal="left" vertical="center"/>
    </xf>
    <xf numFmtId="9" fontId="3" fillId="8" borderId="12" xfId="0" applyNumberFormat="1" applyFont="1" applyFill="1" applyBorder="1" applyAlignment="1">
      <alignment horizontal="left" vertical="center"/>
    </xf>
    <xf numFmtId="9" fontId="3" fillId="8" borderId="0" xfId="0" applyNumberFormat="1" applyFont="1" applyFill="1" applyAlignment="1">
      <alignment horizontal="left" vertical="center"/>
    </xf>
    <xf numFmtId="4" fontId="3" fillId="8" borderId="0" xfId="0" applyNumberFormat="1" applyFont="1" applyFill="1" applyAlignment="1">
      <alignment vertical="center"/>
    </xf>
    <xf numFmtId="4" fontId="3" fillId="8" borderId="4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8" borderId="14" xfId="0" applyNumberFormat="1" applyFont="1" applyFill="1" applyBorder="1" applyAlignment="1">
      <alignment vertical="center"/>
    </xf>
    <xf numFmtId="4" fontId="3" fillId="8" borderId="15" xfId="0" applyNumberFormat="1" applyFont="1" applyFill="1" applyBorder="1" applyAlignment="1">
      <alignment vertical="center"/>
    </xf>
    <xf numFmtId="4" fontId="3" fillId="5" borderId="0" xfId="0" applyNumberFormat="1" applyFont="1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5" borderId="0" xfId="0" applyNumberFormat="1" applyFont="1" applyFill="1" applyAlignment="1">
      <alignment vertical="center"/>
    </xf>
    <xf numFmtId="2" fontId="3" fillId="5" borderId="4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uff\arb\4.%20L&#248;gismose%20'23-\2023%20l&#248;gismose%20(Mo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feb"/>
      <sheetName val="feb-mar"/>
      <sheetName val="mar-apr"/>
      <sheetName val="apr-maj"/>
      <sheetName val="maj-jun"/>
      <sheetName val="jun-jul"/>
      <sheetName val="jul-aug"/>
      <sheetName val="aug-sep"/>
      <sheetName val="sep-okt"/>
      <sheetName val="okt-nov"/>
      <sheetName val="nov-dec"/>
      <sheetName val="dec-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P32">
            <v>218.95000000000002</v>
          </cell>
          <cell r="Q32"/>
        </row>
      </sheetData>
      <sheetData sheetId="9">
        <row r="3">
          <cell r="O3">
            <v>73.466666666666654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D79A-DCBD-4993-9C7E-1D59DDE756EA}">
  <dimension ref="A1:V37"/>
  <sheetViews>
    <sheetView tabSelected="1" workbookViewId="0">
      <selection activeCell="E34" sqref="E34"/>
    </sheetView>
  </sheetViews>
  <sheetFormatPr defaultRowHeight="15" x14ac:dyDescent="0.2"/>
  <cols>
    <col min="1" max="1" width="10.5703125" style="10" bestFit="1" customWidth="1"/>
    <col min="2" max="2" width="11.28515625" style="10" bestFit="1" customWidth="1"/>
    <col min="3" max="6" width="12.7109375" style="10" customWidth="1"/>
    <col min="7" max="7" width="12.5703125" style="10" customWidth="1"/>
    <col min="8" max="8" width="14.42578125" style="10" customWidth="1"/>
    <col min="9" max="9" width="12.5703125" style="10" customWidth="1"/>
    <col min="10" max="11" width="17" style="10" customWidth="1"/>
    <col min="12" max="12" width="4.28515625" style="10" customWidth="1"/>
    <col min="13" max="13" width="5.85546875" style="10" customWidth="1"/>
    <col min="14" max="14" width="23.28515625" style="10" customWidth="1"/>
    <col min="15" max="15" width="12.7109375" style="10" customWidth="1"/>
    <col min="16" max="16" width="7.28515625" style="10" customWidth="1"/>
    <col min="17" max="17" width="8.140625" style="10" customWidth="1"/>
    <col min="18" max="18" width="3.85546875" style="10" customWidth="1"/>
    <col min="19" max="19" width="14" style="10" customWidth="1"/>
    <col min="20" max="20" width="9.85546875" style="10" customWidth="1"/>
    <col min="21" max="21" width="11.42578125" style="10" customWidth="1"/>
    <col min="22" max="22" width="5.85546875" style="10" customWidth="1"/>
    <col min="23" max="16384" width="9.140625" style="10"/>
  </cols>
  <sheetData>
    <row r="1" spans="1:22" ht="1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/>
      <c r="M1" s="142" t="s">
        <v>11</v>
      </c>
      <c r="N1" s="143"/>
      <c r="O1" s="6" t="s">
        <v>12</v>
      </c>
      <c r="P1" s="7"/>
      <c r="Q1" s="8"/>
      <c r="R1" s="9"/>
      <c r="S1" s="9"/>
      <c r="T1" s="144"/>
      <c r="U1" s="144"/>
      <c r="V1" s="145"/>
    </row>
    <row r="2" spans="1:22" ht="18" x14ac:dyDescent="0.25">
      <c r="A2" s="11" t="str">
        <f>TEXT(WEEKDAY(B2,1),"dddd")</f>
        <v>fredag</v>
      </c>
      <c r="B2" s="12">
        <v>45219</v>
      </c>
      <c r="C2" s="13">
        <v>0.33333333333333331</v>
      </c>
      <c r="D2" s="13">
        <v>0.62013888888888891</v>
      </c>
      <c r="E2" s="14" t="str">
        <f>IF(C2="","","0:30")</f>
        <v>0:30</v>
      </c>
      <c r="F2" s="15">
        <f>IF(C2="","",IF((D2&lt;C2),(D2-C2+(D2&lt;C2))*24,((D2*24)-(C2*24))-(E2*24)))</f>
        <v>6.3833333333333329</v>
      </c>
      <c r="G2" s="16">
        <f>IF(C2="","",((IF(D2-MAX(C2,(6/24))+(D2&lt;C2)&lt;0,0,D2-MAX(C2,(6/24))+(D2&lt;C2)))-(IF((D2-MAX(C2,(18/24))+(D2&lt;C2))&lt;0,0,(D2-MAX(C2,(18/24))+(D2&lt;C2)))))*24-(E2*24))</f>
        <v>6.3833333333333346</v>
      </c>
      <c r="H2" s="16">
        <f>IF(C2="","",((IF(D2-MAX(C2,(18/24))+(D2&lt;C2)&lt;0,0,D2-MAX(C2,(18/24))+(D2&lt;C2)))-(IF((D2-MAX(C2,(22/24))+(D2&lt;C2))&lt;0,0,(D2-MAX(C2,(22/24))+(D2&lt;C2)))))*24)</f>
        <v>0</v>
      </c>
      <c r="I2" s="16">
        <f>IF(C2="","",(IF(D2-MAX(C2,(22/24))+(D2&lt;C2)&lt;0,0,D2-MAX(C2,(22/24))+(D2&lt;C2)))-(IF((D2-MAX(C2,(24/24))+(D2&lt;C2))&lt;0,0,(D2-MAX(C2,(24/24))+(D2&lt;C2))))+((IF(D2-MAX(C2,(0/24))+(D2&lt;C2)&lt;0,0,D2-MAX(C2,(0/24))+(D2&lt;C2)))-(IF((D2-MAX(C2,(6/24))+(D2&lt;C2))&lt;0,0,(D2-MAX(C2,(6/24))+(D2&lt;C2)))))*24)</f>
        <v>0</v>
      </c>
      <c r="J2" s="16">
        <f>IF(C2="","",IF(F2&gt;9.5, 2, IF(F2&gt;7.5, F2-7.5, 0)))</f>
        <v>0</v>
      </c>
      <c r="K2" s="17">
        <f>IF(C2="","",IF(F2&gt;11.5, 2, IF(F2&gt;9.5, F2-9.5, 0)))</f>
        <v>0</v>
      </c>
      <c r="L2" s="5"/>
      <c r="M2" s="109"/>
      <c r="N2" s="110"/>
      <c r="O2" s="18"/>
      <c r="P2" s="19"/>
      <c r="Q2" s="20"/>
      <c r="R2" s="19"/>
      <c r="S2" s="18"/>
      <c r="T2" s="146"/>
      <c r="U2" s="146"/>
      <c r="V2" s="147"/>
    </row>
    <row r="3" spans="1:22" ht="15.75" x14ac:dyDescent="0.25">
      <c r="A3" s="11" t="str">
        <f t="shared" ref="A3:A32" si="0">TEXT(WEEKDAY(B3,1),"dddd")</f>
        <v>lørdag</v>
      </c>
      <c r="B3" s="12">
        <v>45220</v>
      </c>
      <c r="C3" s="21"/>
      <c r="D3" s="21"/>
      <c r="E3" s="22" t="str">
        <f t="shared" ref="E3:E32" si="1">IF(C3="","","0:30")</f>
        <v/>
      </c>
      <c r="F3" s="23" t="str">
        <f t="shared" ref="F3:F32" si="2">IF(C3="","",IF((D3&lt;C3),(D3-C3+(D3&lt;C3))*24,((D3*24)-(C3*24))-(E3*24)))</f>
        <v/>
      </c>
      <c r="G3" s="24" t="str">
        <f t="shared" ref="G3:G32" si="3">IF(C3="","",((IF(D3-MAX(C3,(6/24))+(D3&lt;C3)&lt;0,0,D3-MAX(C3,(6/24))+(D3&lt;C3)))-(IF((D3-MAX(C3,(18/24))+(D3&lt;C3))&lt;0,0,(D3-MAX(C3,(18/24))+(D3&lt;C3)))))*24-(E3*24))</f>
        <v/>
      </c>
      <c r="H3" s="24" t="str">
        <f>IF(C3="","",((IF(D3-MAX(C3,(18/24))+(D3&lt;C3)&lt;0,0,D3-MAX(C3,(18/24))+(D3&lt;C3)))-(IF((D3-MAX(C3,(22/24))+(D3&lt;C3))&lt;0,0,(D3-MAX(C3,(22/24))+(D3&lt;C3)))))*24)</f>
        <v/>
      </c>
      <c r="I3" s="24" t="str">
        <f>IF(C3="","",(IF(D3-MAX(C3,(22/24))+(D3&lt;C3)&lt;0,0,D3-MAX(C3,(22/24))+(D3&lt;C3)))-(IF((D3-MAX(C3,(24/24))+(D3&lt;C3))&lt;0,0,(D3-MAX(C3,(24/24))+(D3&lt;C3))))+((IF(D3-MAX(C3,(0/24))+(D3&lt;C3)&lt;0,0,D3-MAX(C3,(0/24))+(D3&lt;C3)))-(IF((D3-MAX(C3,(6/24))+(D3&lt;C3))&lt;0,0,(D3-MAX(C3,(6/24))+(D3&lt;C3)))))*24)</f>
        <v/>
      </c>
      <c r="J3" s="24" t="str">
        <f t="shared" ref="J3:J32" si="4">IF(C3="","",IF(F3&gt;9.5, 2, IF(F3&gt;7.5, F3-7.5, 0)))</f>
        <v/>
      </c>
      <c r="K3" s="25" t="str">
        <f t="shared" ref="K3:K32" si="5">IF(C3="","",IF(F3&gt;11.5, 2, IF(F3&gt;9.5, F3-9.5, 0)))</f>
        <v/>
      </c>
      <c r="L3" s="26"/>
      <c r="M3" s="117" t="s">
        <v>13</v>
      </c>
      <c r="N3" s="118"/>
      <c r="O3" s="29">
        <f>F33</f>
        <v>73.466666666666654</v>
      </c>
      <c r="P3" s="28"/>
      <c r="Q3" s="27" t="s">
        <v>14</v>
      </c>
      <c r="R3" s="28"/>
      <c r="S3" s="30">
        <v>149.69</v>
      </c>
      <c r="T3" s="131">
        <f>+O3*S3</f>
        <v>10997.225333333332</v>
      </c>
      <c r="U3" s="131"/>
      <c r="V3" s="132"/>
    </row>
    <row r="4" spans="1:22" ht="15.75" x14ac:dyDescent="0.25">
      <c r="A4" s="11" t="str">
        <f t="shared" si="0"/>
        <v>søndag</v>
      </c>
      <c r="B4" s="12">
        <v>45221</v>
      </c>
      <c r="C4" s="13"/>
      <c r="D4" s="13"/>
      <c r="E4" s="14" t="str">
        <f t="shared" si="1"/>
        <v/>
      </c>
      <c r="F4" s="15" t="str">
        <f t="shared" si="2"/>
        <v/>
      </c>
      <c r="G4" s="16" t="str">
        <f t="shared" si="3"/>
        <v/>
      </c>
      <c r="H4" s="16" t="str">
        <f t="shared" ref="H4:H32" si="6">IF(C4="","",((IF(D4-MAX(C4,(18/24))+(D4&lt;C4)&lt;0,0,D4-MAX(C4,(18/24))+(D4&lt;C4)))-(IF((D4-MAX(C4,(22/24))+(D4&lt;C4))&lt;0,0,(D4-MAX(C4,(22/24))+(D4&lt;C4)))))*24)</f>
        <v/>
      </c>
      <c r="I4" s="16" t="str">
        <f t="shared" ref="I4:I32" si="7">IF(C4="","",(IF(D4-MAX(C4,(22/24))+(D4&lt;C4)&lt;0,0,D4-MAX(C4,(22/24))+(D4&lt;C4)))-(IF((D4-MAX(C4,(24/24))+(D4&lt;C4))&lt;0,0,(D4-MAX(C4,(24/24))+(D4&lt;C4))))+((IF(D4-MAX(C4,(0/24))+(D4&lt;C4)&lt;0,0,D4-MAX(C4,(0/24))+(D4&lt;C4)))-(IF((D4-MAX(C4,(6/24))+(D4&lt;C4))&lt;0,0,(D4-MAX(C4,(6/24))+(D4&lt;C4)))))*24)</f>
        <v/>
      </c>
      <c r="J4" s="16" t="str">
        <f t="shared" si="4"/>
        <v/>
      </c>
      <c r="K4" s="17" t="str">
        <f t="shared" si="5"/>
        <v/>
      </c>
      <c r="L4" s="32"/>
      <c r="M4" s="138" t="s">
        <v>15</v>
      </c>
      <c r="N4" s="139"/>
      <c r="O4" s="35">
        <f>H33</f>
        <v>16.766666666666669</v>
      </c>
      <c r="P4" s="34"/>
      <c r="Q4" s="33" t="s">
        <v>14</v>
      </c>
      <c r="R4" s="36"/>
      <c r="S4" s="37">
        <v>29.4</v>
      </c>
      <c r="T4" s="140">
        <f>+O4*S4</f>
        <v>492.94000000000005</v>
      </c>
      <c r="U4" s="140"/>
      <c r="V4" s="141"/>
    </row>
    <row r="5" spans="1:22" ht="15.75" x14ac:dyDescent="0.25">
      <c r="A5" s="11" t="str">
        <f t="shared" si="0"/>
        <v>mandag</v>
      </c>
      <c r="B5" s="12">
        <v>45222</v>
      </c>
      <c r="C5" s="21">
        <v>0.4375</v>
      </c>
      <c r="D5" s="21">
        <v>0.77083333333333337</v>
      </c>
      <c r="E5" s="22" t="str">
        <f t="shared" si="1"/>
        <v>0:30</v>
      </c>
      <c r="F5" s="23">
        <f>IF(C5="","",IF((D5&lt;C5),(D5-C5+(D5&lt;C5))*24,((D5*24)-(C5*24))-(E5*24)))</f>
        <v>7.5</v>
      </c>
      <c r="G5" s="24">
        <f t="shared" si="3"/>
        <v>7</v>
      </c>
      <c r="H5" s="24">
        <f t="shared" si="6"/>
        <v>0.50000000000000089</v>
      </c>
      <c r="I5" s="24">
        <f t="shared" si="7"/>
        <v>0</v>
      </c>
      <c r="J5" s="24">
        <f t="shared" si="4"/>
        <v>0</v>
      </c>
      <c r="K5" s="25">
        <f t="shared" si="5"/>
        <v>0</v>
      </c>
      <c r="L5" s="26"/>
      <c r="M5" s="117" t="s">
        <v>16</v>
      </c>
      <c r="N5" s="118"/>
      <c r="O5" s="29">
        <f>I33</f>
        <v>7.5694444444444509E-2</v>
      </c>
      <c r="P5" s="28"/>
      <c r="Q5" s="27" t="s">
        <v>14</v>
      </c>
      <c r="R5" s="28"/>
      <c r="S5" s="30">
        <v>47.95</v>
      </c>
      <c r="T5" s="131">
        <f>+O5*S5</f>
        <v>3.6295486111111144</v>
      </c>
      <c r="U5" s="131"/>
      <c r="V5" s="132"/>
    </row>
    <row r="6" spans="1:22" ht="15.75" x14ac:dyDescent="0.25">
      <c r="A6" s="11" t="str">
        <f t="shared" si="0"/>
        <v>tirsdag</v>
      </c>
      <c r="B6" s="12">
        <v>45223</v>
      </c>
      <c r="C6" s="13">
        <v>0.4375</v>
      </c>
      <c r="D6" s="13">
        <v>0.81527777777777777</v>
      </c>
      <c r="E6" s="14" t="str">
        <f t="shared" si="1"/>
        <v>0:30</v>
      </c>
      <c r="F6" s="15">
        <f t="shared" si="2"/>
        <v>8.5666666666666664</v>
      </c>
      <c r="G6" s="16">
        <f t="shared" si="3"/>
        <v>7</v>
      </c>
      <c r="H6" s="16">
        <f t="shared" si="6"/>
        <v>1.5666666666666664</v>
      </c>
      <c r="I6" s="16">
        <f t="shared" si="7"/>
        <v>0</v>
      </c>
      <c r="J6" s="16">
        <f t="shared" si="4"/>
        <v>1.0666666666666664</v>
      </c>
      <c r="K6" s="17">
        <f t="shared" si="5"/>
        <v>0</v>
      </c>
      <c r="L6" s="32"/>
      <c r="M6" s="138" t="s">
        <v>9</v>
      </c>
      <c r="N6" s="139"/>
      <c r="O6" s="35">
        <f>J33</f>
        <v>5.9166666666666679</v>
      </c>
      <c r="P6" s="34"/>
      <c r="Q6" s="33" t="s">
        <v>14</v>
      </c>
      <c r="R6" s="36"/>
      <c r="S6" s="37">
        <v>44.05</v>
      </c>
      <c r="T6" s="140">
        <f>+O6*S6</f>
        <v>260.62916666666672</v>
      </c>
      <c r="U6" s="140"/>
      <c r="V6" s="141"/>
    </row>
    <row r="7" spans="1:22" ht="16.5" thickBot="1" x14ac:dyDescent="0.3">
      <c r="A7" s="11" t="str">
        <f t="shared" si="0"/>
        <v>onsdag</v>
      </c>
      <c r="B7" s="12">
        <v>45224</v>
      </c>
      <c r="C7" s="21">
        <v>0.54166666666666663</v>
      </c>
      <c r="D7" s="21">
        <v>0.875</v>
      </c>
      <c r="E7" s="22" t="str">
        <f t="shared" si="1"/>
        <v>0:30</v>
      </c>
      <c r="F7" s="23">
        <f t="shared" si="2"/>
        <v>7.5</v>
      </c>
      <c r="G7" s="24">
        <f t="shared" si="3"/>
        <v>4.5000000000000009</v>
      </c>
      <c r="H7" s="24">
        <f t="shared" si="6"/>
        <v>3</v>
      </c>
      <c r="I7" s="24">
        <f t="shared" si="7"/>
        <v>0</v>
      </c>
      <c r="J7" s="24">
        <f t="shared" si="4"/>
        <v>0</v>
      </c>
      <c r="K7" s="25">
        <f t="shared" si="5"/>
        <v>0</v>
      </c>
      <c r="L7" s="26"/>
      <c r="M7" s="117" t="s">
        <v>10</v>
      </c>
      <c r="N7" s="118"/>
      <c r="O7" s="29">
        <f>K33</f>
        <v>1.8166666666666664</v>
      </c>
      <c r="P7" s="28"/>
      <c r="Q7" s="27" t="s">
        <v>14</v>
      </c>
      <c r="R7" s="28"/>
      <c r="S7" s="30">
        <v>70.3</v>
      </c>
      <c r="T7" s="135">
        <f>+O7*S7</f>
        <v>127.71166666666664</v>
      </c>
      <c r="U7" s="135"/>
      <c r="V7" s="136"/>
    </row>
    <row r="8" spans="1:22" ht="16.5" thickTop="1" x14ac:dyDescent="0.25">
      <c r="A8" s="11" t="str">
        <f t="shared" si="0"/>
        <v>torsdag</v>
      </c>
      <c r="B8" s="12">
        <v>45225</v>
      </c>
      <c r="C8" s="13">
        <v>0.5</v>
      </c>
      <c r="D8" s="13">
        <v>0.84861111111111109</v>
      </c>
      <c r="E8" s="14" t="str">
        <f t="shared" si="1"/>
        <v>0:30</v>
      </c>
      <c r="F8" s="15">
        <f t="shared" si="2"/>
        <v>7.8666666666666671</v>
      </c>
      <c r="G8" s="16">
        <f t="shared" si="3"/>
        <v>5.5</v>
      </c>
      <c r="H8" s="16">
        <f t="shared" si="6"/>
        <v>2.3666666666666663</v>
      </c>
      <c r="I8" s="16">
        <f t="shared" si="7"/>
        <v>0</v>
      </c>
      <c r="J8" s="16">
        <f t="shared" si="4"/>
        <v>0.36666666666666714</v>
      </c>
      <c r="K8" s="17">
        <f t="shared" si="5"/>
        <v>0</v>
      </c>
      <c r="L8" s="32"/>
      <c r="M8" s="111"/>
      <c r="N8" s="112"/>
      <c r="O8" s="39"/>
      <c r="P8" s="36"/>
      <c r="Q8" s="38"/>
      <c r="R8" s="36"/>
      <c r="S8" s="40"/>
      <c r="T8" s="137">
        <f>SUM(T3:V7)</f>
        <v>11882.135715277776</v>
      </c>
      <c r="U8" s="121"/>
      <c r="V8" s="122"/>
    </row>
    <row r="9" spans="1:22" ht="15.75" x14ac:dyDescent="0.25">
      <c r="A9" s="11" t="str">
        <f t="shared" si="0"/>
        <v>fredag</v>
      </c>
      <c r="B9" s="12">
        <v>45226</v>
      </c>
      <c r="C9" s="21">
        <v>0.52083333333333337</v>
      </c>
      <c r="D9" s="21">
        <v>0.82708333333333339</v>
      </c>
      <c r="E9" s="22" t="str">
        <f t="shared" si="1"/>
        <v>0:30</v>
      </c>
      <c r="F9" s="23">
        <f t="shared" si="2"/>
        <v>6.8500000000000014</v>
      </c>
      <c r="G9" s="24">
        <f t="shared" si="3"/>
        <v>4.9999999999999991</v>
      </c>
      <c r="H9" s="24">
        <f t="shared" si="6"/>
        <v>1.8500000000000014</v>
      </c>
      <c r="I9" s="24">
        <f t="shared" si="7"/>
        <v>0</v>
      </c>
      <c r="J9" s="24">
        <f t="shared" si="4"/>
        <v>0</v>
      </c>
      <c r="K9" s="25">
        <f t="shared" si="5"/>
        <v>0</v>
      </c>
      <c r="L9" s="26"/>
      <c r="M9" s="117" t="s">
        <v>17</v>
      </c>
      <c r="N9" s="118"/>
      <c r="O9" s="42"/>
      <c r="P9" s="28"/>
      <c r="Q9" s="27"/>
      <c r="R9" s="28"/>
      <c r="S9" s="30">
        <v>94.65</v>
      </c>
      <c r="T9" s="119"/>
      <c r="U9" s="119"/>
      <c r="V9" s="120"/>
    </row>
    <row r="10" spans="1:22" ht="15.75" x14ac:dyDescent="0.25">
      <c r="A10" s="11" t="str">
        <f t="shared" si="0"/>
        <v>lørdag</v>
      </c>
      <c r="B10" s="12">
        <v>45227</v>
      </c>
      <c r="C10" s="13"/>
      <c r="D10" s="13"/>
      <c r="E10" s="14" t="str">
        <f t="shared" si="1"/>
        <v/>
      </c>
      <c r="F10" s="15" t="str">
        <f t="shared" si="2"/>
        <v/>
      </c>
      <c r="G10" s="16" t="str">
        <f t="shared" si="3"/>
        <v/>
      </c>
      <c r="H10" s="16" t="str">
        <f t="shared" si="6"/>
        <v/>
      </c>
      <c r="I10" s="16" t="str">
        <f t="shared" si="7"/>
        <v/>
      </c>
      <c r="J10" s="16" t="str">
        <f t="shared" si="4"/>
        <v/>
      </c>
      <c r="K10" s="17" t="str">
        <f t="shared" si="5"/>
        <v/>
      </c>
      <c r="L10" s="32"/>
      <c r="M10" s="111"/>
      <c r="N10" s="112"/>
      <c r="O10" s="40"/>
      <c r="P10" s="36"/>
      <c r="Q10" s="38"/>
      <c r="R10" s="36"/>
      <c r="S10" s="40"/>
      <c r="T10" s="121"/>
      <c r="U10" s="121"/>
      <c r="V10" s="122"/>
    </row>
    <row r="11" spans="1:22" ht="15.75" x14ac:dyDescent="0.25">
      <c r="A11" s="11" t="str">
        <f t="shared" si="0"/>
        <v>søndag</v>
      </c>
      <c r="B11" s="12">
        <v>45228</v>
      </c>
      <c r="C11" s="21"/>
      <c r="D11" s="21"/>
      <c r="E11" s="22" t="str">
        <f t="shared" si="1"/>
        <v/>
      </c>
      <c r="F11" s="23" t="str">
        <f t="shared" si="2"/>
        <v/>
      </c>
      <c r="G11" s="24" t="str">
        <f t="shared" si="3"/>
        <v/>
      </c>
      <c r="H11" s="24" t="str">
        <f t="shared" si="6"/>
        <v/>
      </c>
      <c r="I11" s="24" t="str">
        <f t="shared" si="7"/>
        <v/>
      </c>
      <c r="J11" s="24" t="str">
        <f t="shared" si="4"/>
        <v/>
      </c>
      <c r="K11" s="25" t="str">
        <f t="shared" si="5"/>
        <v/>
      </c>
      <c r="L11" s="26"/>
      <c r="M11" s="113" t="s">
        <v>18</v>
      </c>
      <c r="N11" s="114"/>
      <c r="O11" s="45"/>
      <c r="P11" s="44"/>
      <c r="Q11" s="43"/>
      <c r="R11" s="44"/>
      <c r="S11" s="45"/>
      <c r="T11" s="131">
        <f>IF(T8-S9&lt;0,0,T8-S9)</f>
        <v>11787.485715277777</v>
      </c>
      <c r="U11" s="131"/>
      <c r="V11" s="132"/>
    </row>
    <row r="12" spans="1:22" ht="15.75" x14ac:dyDescent="0.25">
      <c r="A12" s="11" t="str">
        <f t="shared" si="0"/>
        <v>mandag</v>
      </c>
      <c r="B12" s="12">
        <v>45229</v>
      </c>
      <c r="C12" s="13">
        <v>0.375</v>
      </c>
      <c r="D12" s="13">
        <v>0.76874999999999993</v>
      </c>
      <c r="E12" s="14" t="str">
        <f t="shared" si="1"/>
        <v>0:30</v>
      </c>
      <c r="F12" s="15">
        <f>IF(C12="","",IF((D12&lt;C12),(D12-C12+(D12&lt;C12))*24,((D12*24)-(C12*24))-(E12*24)))</f>
        <v>8.9499999999999993</v>
      </c>
      <c r="G12" s="16">
        <f>IF(C12="","",((IF(D12-MAX(C12,(6/24))+(D12&lt;C12)&lt;0,0,D12-MAX(C12,(6/24))+(D12&lt;C12)))-(IF((D12-MAX(C12,(18/24))+(D12&lt;C12))&lt;0,0,(D12-MAX(C12,(18/24))+(D12&lt;C12)))))*24-(E12*24))</f>
        <v>8.5</v>
      </c>
      <c r="H12" s="16">
        <f t="shared" si="6"/>
        <v>0.4499999999999984</v>
      </c>
      <c r="I12" s="16">
        <f t="shared" si="7"/>
        <v>0</v>
      </c>
      <c r="J12" s="16">
        <f t="shared" si="4"/>
        <v>1.4499999999999993</v>
      </c>
      <c r="K12" s="17">
        <f t="shared" si="5"/>
        <v>0</v>
      </c>
      <c r="L12" s="32"/>
      <c r="M12" s="111"/>
      <c r="N12" s="112"/>
      <c r="O12" s="40"/>
      <c r="P12" s="36"/>
      <c r="Q12" s="38"/>
      <c r="R12" s="36"/>
      <c r="S12" s="40"/>
      <c r="T12" s="121"/>
      <c r="U12" s="121"/>
      <c r="V12" s="122"/>
    </row>
    <row r="13" spans="1:22" ht="15.75" x14ac:dyDescent="0.25">
      <c r="A13" s="11" t="str">
        <f t="shared" si="0"/>
        <v>tirsdag</v>
      </c>
      <c r="B13" s="12">
        <v>45230</v>
      </c>
      <c r="C13" s="21">
        <v>0.5</v>
      </c>
      <c r="D13" s="21">
        <v>0.99236111111111114</v>
      </c>
      <c r="E13" s="22" t="str">
        <f t="shared" si="1"/>
        <v>0:30</v>
      </c>
      <c r="F13" s="23">
        <f>IF(C13="","",IF((D13&lt;C13),(D13-C13+(D13&lt;C13))*24,((D13*24)-(C13*24))-(E13*24)))</f>
        <v>11.316666666666666</v>
      </c>
      <c r="G13" s="24">
        <f t="shared" si="3"/>
        <v>5.5</v>
      </c>
      <c r="H13" s="24">
        <f t="shared" si="6"/>
        <v>3.9999999999999991</v>
      </c>
      <c r="I13" s="24">
        <f t="shared" si="7"/>
        <v>7.5694444444444509E-2</v>
      </c>
      <c r="J13" s="24">
        <f t="shared" si="4"/>
        <v>2</v>
      </c>
      <c r="K13" s="25">
        <f t="shared" si="5"/>
        <v>1.8166666666666664</v>
      </c>
      <c r="L13" s="26"/>
      <c r="M13" s="46">
        <v>0.08</v>
      </c>
      <c r="N13" s="28" t="s">
        <v>19</v>
      </c>
      <c r="O13" s="30"/>
      <c r="P13" s="47"/>
      <c r="Q13" s="27"/>
      <c r="R13" s="28"/>
      <c r="S13" s="48">
        <f>-ROUND(T11*0.08,0)</f>
        <v>-943</v>
      </c>
      <c r="T13" s="119"/>
      <c r="U13" s="119"/>
      <c r="V13" s="120"/>
    </row>
    <row r="14" spans="1:22" ht="15.75" x14ac:dyDescent="0.25">
      <c r="A14" s="11" t="str">
        <f t="shared" si="0"/>
        <v>onsdag</v>
      </c>
      <c r="B14" s="12">
        <v>45231</v>
      </c>
      <c r="C14" s="13">
        <v>0.5</v>
      </c>
      <c r="D14" s="13">
        <v>0.87638888888888899</v>
      </c>
      <c r="E14" s="14" t="str">
        <f t="shared" si="1"/>
        <v>0:30</v>
      </c>
      <c r="F14" s="15">
        <f t="shared" si="2"/>
        <v>8.533333333333335</v>
      </c>
      <c r="G14" s="16">
        <f t="shared" si="3"/>
        <v>5.5</v>
      </c>
      <c r="H14" s="16">
        <f t="shared" si="6"/>
        <v>3.0333333333333359</v>
      </c>
      <c r="I14" s="16">
        <f>IF(C14="","",(IF(D14-MAX(C14,(22/24))+(D14&lt;C14)&lt;0,0,D14-MAX(C14,(22/24))+(D14&lt;C14)))-(IF((D14-MAX(C14,(24/24))+(D14&lt;C14))&lt;0,0,(D14-MAX(C14,(24/24))+(D14&lt;C14))))+((IF(D14-MAX(C14,(0/24))+(D14&lt;C14)&lt;0,0,D14-MAX(C14,(0/24))+(D14&lt;C14)))-(IF((D14-MAX(C14,(6/24))+(D14&lt;C14))&lt;0,0,(D14-MAX(C14,(6/24))+(D14&lt;C14)))))*24)</f>
        <v>0</v>
      </c>
      <c r="J14" s="16">
        <f t="shared" si="4"/>
        <v>1.033333333333335</v>
      </c>
      <c r="K14" s="17">
        <f t="shared" si="5"/>
        <v>0</v>
      </c>
      <c r="L14" s="32"/>
      <c r="M14" s="127"/>
      <c r="N14" s="128"/>
      <c r="O14" s="41"/>
      <c r="P14" s="50"/>
      <c r="Q14" s="38"/>
      <c r="R14" s="36"/>
      <c r="S14" s="51"/>
      <c r="T14" s="121"/>
      <c r="U14" s="121"/>
      <c r="V14" s="122"/>
    </row>
    <row r="15" spans="1:22" ht="15.75" x14ac:dyDescent="0.25">
      <c r="A15" s="11" t="str">
        <f t="shared" si="0"/>
        <v>torsdag</v>
      </c>
      <c r="B15" s="12">
        <v>45232</v>
      </c>
      <c r="C15" s="21"/>
      <c r="D15" s="21"/>
      <c r="E15" s="22" t="str">
        <f t="shared" si="1"/>
        <v/>
      </c>
      <c r="F15" s="23" t="str">
        <f t="shared" si="2"/>
        <v/>
      </c>
      <c r="G15" s="24" t="str">
        <f t="shared" si="3"/>
        <v/>
      </c>
      <c r="H15" s="24" t="str">
        <f t="shared" si="6"/>
        <v/>
      </c>
      <c r="I15" s="24" t="str">
        <f t="shared" si="7"/>
        <v/>
      </c>
      <c r="J15" s="24" t="str">
        <f t="shared" si="4"/>
        <v/>
      </c>
      <c r="K15" s="25" t="str">
        <f t="shared" si="5"/>
        <v/>
      </c>
      <c r="L15" s="26"/>
      <c r="M15" s="129" t="s">
        <v>20</v>
      </c>
      <c r="N15" s="130"/>
      <c r="O15" s="31"/>
      <c r="P15" s="52"/>
      <c r="Q15" s="43"/>
      <c r="R15" s="44"/>
      <c r="S15" s="53"/>
      <c r="T15" s="131">
        <f>+T11+S13</f>
        <v>10844.485715277777</v>
      </c>
      <c r="U15" s="131"/>
      <c r="V15" s="132"/>
    </row>
    <row r="16" spans="1:22" ht="15.75" x14ac:dyDescent="0.25">
      <c r="A16" s="11" t="str">
        <f t="shared" si="0"/>
        <v>fredag</v>
      </c>
      <c r="B16" s="12">
        <v>45233</v>
      </c>
      <c r="C16" s="13"/>
      <c r="D16" s="13"/>
      <c r="E16" s="14" t="str">
        <f t="shared" si="1"/>
        <v/>
      </c>
      <c r="F16" s="15" t="str">
        <f t="shared" si="2"/>
        <v/>
      </c>
      <c r="G16" s="16" t="str">
        <f t="shared" si="3"/>
        <v/>
      </c>
      <c r="H16" s="16" t="str">
        <f t="shared" si="6"/>
        <v/>
      </c>
      <c r="I16" s="16" t="str">
        <f t="shared" si="7"/>
        <v/>
      </c>
      <c r="J16" s="16" t="str">
        <f t="shared" si="4"/>
        <v/>
      </c>
      <c r="K16" s="17" t="str">
        <f t="shared" si="5"/>
        <v/>
      </c>
      <c r="L16" s="32"/>
      <c r="M16" s="111"/>
      <c r="N16" s="112"/>
      <c r="O16" s="39"/>
      <c r="P16" s="36"/>
      <c r="Q16" s="38"/>
      <c r="R16" s="36"/>
      <c r="S16" s="40"/>
      <c r="T16" s="133">
        <f>(IF(T15&lt;=O17,T15,O17)+IF(T15&gt;=0,0,T15))</f>
        <v>7786</v>
      </c>
      <c r="U16" s="133"/>
      <c r="V16" s="134"/>
    </row>
    <row r="17" spans="1:22" ht="15.75" x14ac:dyDescent="0.25">
      <c r="A17" s="11" t="str">
        <f t="shared" si="0"/>
        <v>lørdag</v>
      </c>
      <c r="B17" s="12">
        <v>45234</v>
      </c>
      <c r="C17" s="21"/>
      <c r="D17" s="21"/>
      <c r="E17" s="22" t="str">
        <f t="shared" si="1"/>
        <v/>
      </c>
      <c r="F17" s="23" t="str">
        <f t="shared" si="2"/>
        <v/>
      </c>
      <c r="G17" s="24" t="str">
        <f t="shared" si="3"/>
        <v/>
      </c>
      <c r="H17" s="24" t="str">
        <f t="shared" si="6"/>
        <v/>
      </c>
      <c r="I17" s="24" t="str">
        <f t="shared" si="7"/>
        <v/>
      </c>
      <c r="J17" s="24" t="str">
        <f t="shared" si="4"/>
        <v/>
      </c>
      <c r="K17" s="25" t="str">
        <f t="shared" si="5"/>
        <v/>
      </c>
      <c r="L17" s="54"/>
      <c r="M17" s="117" t="s">
        <v>21</v>
      </c>
      <c r="N17" s="118"/>
      <c r="O17" s="48">
        <v>7786</v>
      </c>
      <c r="P17" s="55"/>
      <c r="Q17" s="27"/>
      <c r="R17" s="28"/>
      <c r="S17" s="42"/>
      <c r="T17" s="119"/>
      <c r="U17" s="119"/>
      <c r="V17" s="120"/>
    </row>
    <row r="18" spans="1:22" ht="15.75" x14ac:dyDescent="0.25">
      <c r="A18" s="11" t="str">
        <f t="shared" si="0"/>
        <v>søndag</v>
      </c>
      <c r="B18" s="12">
        <v>45235</v>
      </c>
      <c r="C18" s="13"/>
      <c r="D18" s="13"/>
      <c r="E18" s="14" t="str">
        <f t="shared" si="1"/>
        <v/>
      </c>
      <c r="F18" s="15" t="str">
        <f t="shared" si="2"/>
        <v/>
      </c>
      <c r="G18" s="16" t="str">
        <f t="shared" si="3"/>
        <v/>
      </c>
      <c r="H18" s="16" t="str">
        <f t="shared" si="6"/>
        <v/>
      </c>
      <c r="I18" s="16" t="str">
        <f t="shared" si="7"/>
        <v/>
      </c>
      <c r="J18" s="16" t="str">
        <f t="shared" si="4"/>
        <v/>
      </c>
      <c r="K18" s="17" t="str">
        <f t="shared" si="5"/>
        <v/>
      </c>
      <c r="L18" s="32"/>
      <c r="M18" s="111"/>
      <c r="N18" s="112"/>
      <c r="O18" s="40"/>
      <c r="P18" s="36"/>
      <c r="Q18" s="38"/>
      <c r="R18" s="36"/>
      <c r="S18" s="40"/>
      <c r="T18" s="121"/>
      <c r="U18" s="121"/>
      <c r="V18" s="122"/>
    </row>
    <row r="19" spans="1:22" ht="15.75" x14ac:dyDescent="0.25">
      <c r="A19" s="11" t="str">
        <f t="shared" si="0"/>
        <v>mandag</v>
      </c>
      <c r="B19" s="12">
        <v>45236</v>
      </c>
      <c r="C19" s="21"/>
      <c r="D19" s="21"/>
      <c r="E19" s="22" t="str">
        <f t="shared" si="1"/>
        <v/>
      </c>
      <c r="F19" s="23" t="str">
        <f t="shared" si="2"/>
        <v/>
      </c>
      <c r="G19" s="24" t="str">
        <f t="shared" si="3"/>
        <v/>
      </c>
      <c r="H19" s="24" t="str">
        <f t="shared" si="6"/>
        <v/>
      </c>
      <c r="I19" s="24" t="str">
        <f t="shared" si="7"/>
        <v/>
      </c>
      <c r="J19" s="24" t="str">
        <f t="shared" si="4"/>
        <v/>
      </c>
      <c r="K19" s="25" t="str">
        <f t="shared" si="5"/>
        <v/>
      </c>
      <c r="L19" s="26"/>
      <c r="M19" s="46">
        <v>0.38</v>
      </c>
      <c r="N19" s="28" t="s">
        <v>22</v>
      </c>
      <c r="O19" s="48"/>
      <c r="P19" s="28"/>
      <c r="Q19" s="27"/>
      <c r="R19" s="28"/>
      <c r="S19" s="48">
        <f>IF(T15&lt;=0,0,-ROUND((T15-T16)*M19,0))</f>
        <v>-1162</v>
      </c>
      <c r="T19" s="119"/>
      <c r="U19" s="119"/>
      <c r="V19" s="120"/>
    </row>
    <row r="20" spans="1:22" ht="15.75" x14ac:dyDescent="0.25">
      <c r="A20" s="11" t="str">
        <f t="shared" si="0"/>
        <v>tirsdag</v>
      </c>
      <c r="B20" s="12">
        <v>45237</v>
      </c>
      <c r="C20" s="13"/>
      <c r="D20" s="13"/>
      <c r="E20" s="14" t="str">
        <f t="shared" si="1"/>
        <v/>
      </c>
      <c r="F20" s="15" t="str">
        <f t="shared" si="2"/>
        <v/>
      </c>
      <c r="G20" s="16" t="str">
        <f t="shared" si="3"/>
        <v/>
      </c>
      <c r="H20" s="16" t="str">
        <f t="shared" si="6"/>
        <v/>
      </c>
      <c r="I20" s="16" t="str">
        <f t="shared" si="7"/>
        <v/>
      </c>
      <c r="J20" s="16" t="str">
        <f t="shared" si="4"/>
        <v/>
      </c>
      <c r="K20" s="17" t="str">
        <f t="shared" si="5"/>
        <v/>
      </c>
      <c r="L20" s="32"/>
      <c r="M20" s="123"/>
      <c r="N20" s="124"/>
      <c r="O20" s="40"/>
      <c r="P20" s="36"/>
      <c r="Q20" s="38"/>
      <c r="R20" s="36"/>
      <c r="S20" s="40"/>
      <c r="T20" s="125"/>
      <c r="U20" s="125"/>
      <c r="V20" s="126"/>
    </row>
    <row r="21" spans="1:22" ht="15.75" x14ac:dyDescent="0.25">
      <c r="A21" s="11" t="str">
        <f t="shared" si="0"/>
        <v>onsdag</v>
      </c>
      <c r="B21" s="12">
        <v>45238</v>
      </c>
      <c r="C21" s="21"/>
      <c r="D21" s="21"/>
      <c r="E21" s="22" t="str">
        <f t="shared" si="1"/>
        <v/>
      </c>
      <c r="F21" s="23" t="str">
        <f t="shared" si="2"/>
        <v/>
      </c>
      <c r="G21" s="24" t="str">
        <f t="shared" si="3"/>
        <v/>
      </c>
      <c r="H21" s="24" t="str">
        <f t="shared" si="6"/>
        <v/>
      </c>
      <c r="I21" s="24" t="str">
        <f t="shared" si="7"/>
        <v/>
      </c>
      <c r="J21" s="24" t="str">
        <f t="shared" si="4"/>
        <v/>
      </c>
      <c r="K21" s="25" t="str">
        <f t="shared" si="5"/>
        <v/>
      </c>
      <c r="L21" s="26"/>
      <c r="M21" s="105" t="s">
        <v>23</v>
      </c>
      <c r="N21" s="106"/>
      <c r="O21" s="57"/>
      <c r="P21" s="56"/>
      <c r="Q21" s="56"/>
      <c r="R21" s="56"/>
      <c r="S21" s="58"/>
      <c r="T21" s="107">
        <f>+T15+S19</f>
        <v>9682.4857152777768</v>
      </c>
      <c r="U21" s="107"/>
      <c r="V21" s="108"/>
    </row>
    <row r="22" spans="1:22" ht="15.75" x14ac:dyDescent="0.25">
      <c r="A22" s="11" t="str">
        <f t="shared" si="0"/>
        <v>torsdag</v>
      </c>
      <c r="B22" s="12">
        <v>45239</v>
      </c>
      <c r="C22" s="13"/>
      <c r="D22" s="13"/>
      <c r="E22" s="14" t="str">
        <f t="shared" si="1"/>
        <v/>
      </c>
      <c r="F22" s="15" t="str">
        <f t="shared" si="2"/>
        <v/>
      </c>
      <c r="G22" s="16" t="str">
        <f t="shared" si="3"/>
        <v/>
      </c>
      <c r="H22" s="16" t="str">
        <f t="shared" si="6"/>
        <v/>
      </c>
      <c r="I22" s="16" t="str">
        <f t="shared" si="7"/>
        <v/>
      </c>
      <c r="J22" s="16" t="str">
        <f t="shared" si="4"/>
        <v/>
      </c>
      <c r="K22" s="17" t="str">
        <f t="shared" si="5"/>
        <v/>
      </c>
      <c r="L22" s="32"/>
    </row>
    <row r="23" spans="1:22" ht="15.75" x14ac:dyDescent="0.25">
      <c r="A23" s="11" t="str">
        <f t="shared" si="0"/>
        <v>fredag</v>
      </c>
      <c r="B23" s="12">
        <v>45240</v>
      </c>
      <c r="C23" s="21"/>
      <c r="D23" s="21"/>
      <c r="E23" s="22" t="str">
        <f t="shared" si="1"/>
        <v/>
      </c>
      <c r="F23" s="23" t="str">
        <f t="shared" si="2"/>
        <v/>
      </c>
      <c r="G23" s="24" t="str">
        <f t="shared" si="3"/>
        <v/>
      </c>
      <c r="H23" s="24" t="str">
        <f t="shared" si="6"/>
        <v/>
      </c>
      <c r="I23" s="24" t="str">
        <f t="shared" si="7"/>
        <v/>
      </c>
      <c r="J23" s="24" t="str">
        <f t="shared" si="4"/>
        <v/>
      </c>
      <c r="K23" s="25" t="str">
        <f t="shared" si="5"/>
        <v/>
      </c>
      <c r="L23" s="26"/>
      <c r="M23" s="109" t="s">
        <v>24</v>
      </c>
      <c r="N23" s="110"/>
      <c r="O23" s="59">
        <f>+(+T8)*0.125</f>
        <v>1485.266964409722</v>
      </c>
      <c r="P23" s="34"/>
      <c r="Q23" s="34"/>
      <c r="R23" s="34"/>
      <c r="S23" s="34"/>
      <c r="T23" s="34"/>
      <c r="U23" s="34"/>
      <c r="V23" s="34"/>
    </row>
    <row r="24" spans="1:22" ht="15.75" x14ac:dyDescent="0.25">
      <c r="A24" s="11" t="str">
        <f t="shared" si="0"/>
        <v>lørdag</v>
      </c>
      <c r="B24" s="12">
        <v>45241</v>
      </c>
      <c r="C24" s="13"/>
      <c r="D24" s="13"/>
      <c r="E24" s="14" t="str">
        <f t="shared" si="1"/>
        <v/>
      </c>
      <c r="F24" s="15" t="str">
        <f t="shared" si="2"/>
        <v/>
      </c>
      <c r="G24" s="16" t="str">
        <f>IF(C24="","",((IF(D24-MAX(C24,(6/24))+(D24&lt;C24)&lt;0,0,D24-MAX(C24,(6/24))+(D24&lt;C24)))-(IF((D24-MAX(C24,(18/24))+(D24&lt;C24))&lt;0,0,(D24-MAX(C24,(18/24))+(D24&lt;C24)))))*24-(E24*24))</f>
        <v/>
      </c>
      <c r="H24" s="16" t="str">
        <f>IF(C24="","",((IF(D24-MAX(C24,(18/24))+(D24&lt;C24)&lt;0,0,D24-MAX(C24,(18/24))+(D24&lt;C24)))-(IF((D24-MAX(C24,(22/24))+(D24&lt;C24))&lt;0,0,(D24-MAX(C24,(22/24))+(D24&lt;C24)))))*24)</f>
        <v/>
      </c>
      <c r="I24" s="16" t="str">
        <f t="shared" si="7"/>
        <v/>
      </c>
      <c r="J24" s="16" t="str">
        <f t="shared" si="4"/>
        <v/>
      </c>
      <c r="K24" s="17" t="str">
        <f t="shared" si="5"/>
        <v/>
      </c>
      <c r="L24" s="32"/>
      <c r="M24" s="60">
        <f>+M13</f>
        <v>0.08</v>
      </c>
      <c r="N24" s="44" t="s">
        <v>25</v>
      </c>
      <c r="O24" s="61">
        <f>ROUND(-O23*M24,0)</f>
        <v>-119</v>
      </c>
      <c r="P24" s="34"/>
      <c r="Q24" s="34"/>
      <c r="R24" s="34"/>
      <c r="S24" s="62"/>
      <c r="T24" s="34"/>
      <c r="U24" s="34"/>
      <c r="V24" s="34"/>
    </row>
    <row r="25" spans="1:22" ht="15.75" x14ac:dyDescent="0.25">
      <c r="A25" s="11" t="str">
        <f t="shared" si="0"/>
        <v>søndag</v>
      </c>
      <c r="B25" s="12">
        <v>45242</v>
      </c>
      <c r="C25" s="21"/>
      <c r="D25" s="21"/>
      <c r="E25" s="22" t="str">
        <f t="shared" si="1"/>
        <v/>
      </c>
      <c r="F25" s="23" t="str">
        <f t="shared" si="2"/>
        <v/>
      </c>
      <c r="G25" s="24" t="str">
        <f t="shared" si="3"/>
        <v/>
      </c>
      <c r="H25" s="24" t="str">
        <f t="shared" si="6"/>
        <v/>
      </c>
      <c r="I25" s="24" t="str">
        <f t="shared" si="7"/>
        <v/>
      </c>
      <c r="J25" s="24" t="str">
        <f t="shared" si="4"/>
        <v/>
      </c>
      <c r="K25" s="25" t="str">
        <f t="shared" si="5"/>
        <v/>
      </c>
      <c r="L25" s="26"/>
      <c r="M25" s="111" t="s">
        <v>20</v>
      </c>
      <c r="N25" s="112"/>
      <c r="O25" s="63">
        <f>+O23+O24</f>
        <v>1366.266964409722</v>
      </c>
      <c r="P25" s="34"/>
      <c r="Q25" s="34"/>
      <c r="R25" s="34"/>
      <c r="S25" s="34"/>
      <c r="T25" s="34"/>
      <c r="U25" s="34"/>
      <c r="V25" s="34"/>
    </row>
    <row r="26" spans="1:22" ht="15.75" x14ac:dyDescent="0.25">
      <c r="A26" s="11" t="str">
        <f t="shared" si="0"/>
        <v>mandag</v>
      </c>
      <c r="B26" s="12">
        <v>45243</v>
      </c>
      <c r="C26" s="13"/>
      <c r="D26" s="13"/>
      <c r="E26" s="14" t="str">
        <f t="shared" si="1"/>
        <v/>
      </c>
      <c r="F26" s="15" t="str">
        <f t="shared" si="2"/>
        <v/>
      </c>
      <c r="G26" s="16" t="str">
        <f t="shared" si="3"/>
        <v/>
      </c>
      <c r="H26" s="16" t="str">
        <f t="shared" si="6"/>
        <v/>
      </c>
      <c r="I26" s="16" t="str">
        <f t="shared" si="7"/>
        <v/>
      </c>
      <c r="J26" s="16" t="str">
        <f t="shared" si="4"/>
        <v/>
      </c>
      <c r="K26" s="17" t="str">
        <f t="shared" si="5"/>
        <v/>
      </c>
      <c r="L26" s="64"/>
      <c r="M26" s="113" t="s">
        <v>26</v>
      </c>
      <c r="N26" s="114"/>
      <c r="O26" s="61">
        <f>+((O17*0.0328)*4)*0.75</f>
        <v>766.14240000000007</v>
      </c>
      <c r="P26" s="34"/>
      <c r="Q26" s="34"/>
      <c r="R26" s="34"/>
      <c r="S26" s="34"/>
      <c r="T26" s="34"/>
      <c r="U26" s="34"/>
      <c r="V26" s="34"/>
    </row>
    <row r="27" spans="1:22" ht="15.75" x14ac:dyDescent="0.25">
      <c r="A27" s="11" t="str">
        <f t="shared" si="0"/>
        <v>tirsdag</v>
      </c>
      <c r="B27" s="12">
        <v>45244</v>
      </c>
      <c r="C27" s="21"/>
      <c r="D27" s="21"/>
      <c r="E27" s="22" t="str">
        <f t="shared" si="1"/>
        <v/>
      </c>
      <c r="F27" s="23" t="str">
        <f t="shared" si="2"/>
        <v/>
      </c>
      <c r="G27" s="24" t="str">
        <f t="shared" si="3"/>
        <v/>
      </c>
      <c r="H27" s="24" t="str">
        <f t="shared" si="6"/>
        <v/>
      </c>
      <c r="I27" s="24" t="str">
        <f t="shared" si="7"/>
        <v/>
      </c>
      <c r="J27" s="24" t="str">
        <f t="shared" si="4"/>
        <v/>
      </c>
      <c r="K27" s="25" t="str">
        <f t="shared" si="5"/>
        <v/>
      </c>
      <c r="L27" s="26"/>
      <c r="M27" s="49">
        <f>+M19</f>
        <v>0.38</v>
      </c>
      <c r="N27" s="36" t="s">
        <v>22</v>
      </c>
      <c r="O27" s="65">
        <f>IF(O25&lt;=0,0,-ROUND((O25-P25)*M27,0))</f>
        <v>-519</v>
      </c>
      <c r="P27" s="34"/>
      <c r="Q27" s="34"/>
      <c r="R27" s="34"/>
      <c r="S27" s="34"/>
      <c r="T27" s="34"/>
      <c r="U27" s="34"/>
      <c r="V27" s="34"/>
    </row>
    <row r="28" spans="1:22" ht="15.75" x14ac:dyDescent="0.25">
      <c r="A28" s="11" t="str">
        <f t="shared" si="0"/>
        <v>onsdag</v>
      </c>
      <c r="B28" s="12">
        <v>45245</v>
      </c>
      <c r="C28" s="13"/>
      <c r="D28" s="13"/>
      <c r="E28" s="14" t="str">
        <f t="shared" si="1"/>
        <v/>
      </c>
      <c r="F28" s="15" t="str">
        <f t="shared" si="2"/>
        <v/>
      </c>
      <c r="G28" s="16" t="str">
        <f t="shared" si="3"/>
        <v/>
      </c>
      <c r="H28" s="16" t="str">
        <f t="shared" si="6"/>
        <v/>
      </c>
      <c r="I28" s="16" t="str">
        <f t="shared" si="7"/>
        <v/>
      </c>
      <c r="J28" s="16" t="str">
        <f t="shared" si="4"/>
        <v/>
      </c>
      <c r="K28" s="17" t="str">
        <f t="shared" si="5"/>
        <v/>
      </c>
      <c r="L28" s="32"/>
      <c r="M28" s="115" t="s">
        <v>27</v>
      </c>
      <c r="N28" s="116"/>
      <c r="O28" s="66">
        <f>+O25+O27</f>
        <v>847.26696440972205</v>
      </c>
      <c r="P28" s="34"/>
      <c r="Q28" s="34"/>
      <c r="R28" s="34"/>
      <c r="S28" s="34"/>
      <c r="T28" s="34"/>
      <c r="U28" s="34"/>
      <c r="V28" s="34"/>
    </row>
    <row r="29" spans="1:22" ht="15.75" x14ac:dyDescent="0.25">
      <c r="A29" s="11" t="str">
        <f t="shared" si="0"/>
        <v>torsdag</v>
      </c>
      <c r="B29" s="12">
        <v>45246</v>
      </c>
      <c r="C29" s="21"/>
      <c r="D29" s="21"/>
      <c r="E29" s="22" t="str">
        <f t="shared" si="1"/>
        <v/>
      </c>
      <c r="F29" s="23" t="str">
        <f t="shared" si="2"/>
        <v/>
      </c>
      <c r="G29" s="24" t="str">
        <f t="shared" si="3"/>
        <v/>
      </c>
      <c r="H29" s="24" t="str">
        <f t="shared" si="6"/>
        <v/>
      </c>
      <c r="I29" s="24" t="str">
        <f t="shared" si="7"/>
        <v/>
      </c>
      <c r="J29" s="24" t="str">
        <f t="shared" si="4"/>
        <v/>
      </c>
      <c r="K29" s="25" t="str">
        <f t="shared" si="5"/>
        <v/>
      </c>
      <c r="L29" s="26"/>
    </row>
    <row r="30" spans="1:22" ht="15.75" x14ac:dyDescent="0.25">
      <c r="A30" s="11" t="str">
        <f t="shared" si="0"/>
        <v>fredag</v>
      </c>
      <c r="B30" s="12">
        <v>45247</v>
      </c>
      <c r="C30" s="13"/>
      <c r="D30" s="13"/>
      <c r="E30" s="14" t="str">
        <f t="shared" si="1"/>
        <v/>
      </c>
      <c r="F30" s="15" t="str">
        <f t="shared" si="2"/>
        <v/>
      </c>
      <c r="G30" s="16" t="str">
        <f t="shared" si="3"/>
        <v/>
      </c>
      <c r="H30" s="16" t="str">
        <f t="shared" si="6"/>
        <v/>
      </c>
      <c r="I30" s="16" t="str">
        <f t="shared" si="7"/>
        <v/>
      </c>
      <c r="J30" s="16" t="str">
        <f t="shared" si="4"/>
        <v/>
      </c>
      <c r="K30" s="17" t="str">
        <f t="shared" si="5"/>
        <v/>
      </c>
      <c r="L30" s="32"/>
      <c r="M30" s="67"/>
      <c r="N30" s="68" t="s">
        <v>28</v>
      </c>
      <c r="O30" s="69"/>
      <c r="P30" s="69"/>
      <c r="Q30" s="69"/>
      <c r="R30" s="69"/>
      <c r="S30" s="69"/>
      <c r="T30" s="69"/>
      <c r="U30" s="69"/>
      <c r="V30" s="70"/>
    </row>
    <row r="31" spans="1:22" ht="15.75" x14ac:dyDescent="0.25">
      <c r="A31" s="11" t="str">
        <f t="shared" si="0"/>
        <v>lørdag</v>
      </c>
      <c r="B31" s="12">
        <v>45248</v>
      </c>
      <c r="C31" s="21"/>
      <c r="D31" s="21"/>
      <c r="E31" s="22" t="str">
        <f t="shared" si="1"/>
        <v/>
      </c>
      <c r="F31" s="23" t="str">
        <f t="shared" si="2"/>
        <v/>
      </c>
      <c r="G31" s="24" t="str">
        <f t="shared" si="3"/>
        <v/>
      </c>
      <c r="H31" s="24" t="str">
        <f t="shared" si="6"/>
        <v/>
      </c>
      <c r="I31" s="24" t="str">
        <f t="shared" si="7"/>
        <v/>
      </c>
      <c r="J31" s="24" t="str">
        <f t="shared" si="4"/>
        <v/>
      </c>
      <c r="K31" s="25" t="str">
        <f t="shared" si="5"/>
        <v/>
      </c>
      <c r="L31" s="26"/>
      <c r="M31" s="71"/>
      <c r="N31" s="72"/>
      <c r="O31" s="72"/>
      <c r="P31" s="73"/>
      <c r="Q31" s="73"/>
      <c r="R31" s="72"/>
      <c r="S31" s="72"/>
      <c r="T31" s="72"/>
      <c r="U31" s="73"/>
      <c r="V31" s="74"/>
    </row>
    <row r="32" spans="1:22" ht="16.5" thickBot="1" x14ac:dyDescent="0.3">
      <c r="A32" s="11" t="str">
        <f t="shared" si="0"/>
        <v>søndag</v>
      </c>
      <c r="B32" s="12">
        <v>45249</v>
      </c>
      <c r="C32" s="13"/>
      <c r="D32" s="13"/>
      <c r="E32" s="14" t="str">
        <f t="shared" si="1"/>
        <v/>
      </c>
      <c r="F32" s="15" t="str">
        <f t="shared" si="2"/>
        <v/>
      </c>
      <c r="G32" s="16" t="str">
        <f t="shared" si="3"/>
        <v/>
      </c>
      <c r="H32" s="16" t="str">
        <f t="shared" si="6"/>
        <v/>
      </c>
      <c r="I32" s="16" t="str">
        <f t="shared" si="7"/>
        <v/>
      </c>
      <c r="J32" s="16" t="str">
        <f t="shared" si="4"/>
        <v/>
      </c>
      <c r="K32" s="17" t="str">
        <f t="shared" si="5"/>
        <v/>
      </c>
      <c r="L32" s="32"/>
      <c r="M32" s="75"/>
      <c r="N32" s="93" t="s">
        <v>29</v>
      </c>
      <c r="O32" s="94"/>
      <c r="P32" s="95">
        <f>'[1]sep-okt'!P32:Q32+'[1]okt-nov'!O3</f>
        <v>292.41666666666669</v>
      </c>
      <c r="Q32" s="96"/>
      <c r="R32" s="76"/>
      <c r="S32" s="93" t="s">
        <v>22</v>
      </c>
      <c r="T32" s="94"/>
      <c r="U32" s="77">
        <f>-S19-O27</f>
        <v>1681</v>
      </c>
      <c r="V32" s="78"/>
    </row>
    <row r="33" spans="1:22" ht="17.25" thickTop="1" thickBot="1" x14ac:dyDescent="0.3">
      <c r="A33" s="79"/>
      <c r="B33" s="80" t="s">
        <v>30</v>
      </c>
      <c r="C33" s="81"/>
      <c r="D33" s="81"/>
      <c r="E33" s="82">
        <f>SUM(E2:E32)</f>
        <v>0</v>
      </c>
      <c r="F33" s="82">
        <f>SUM(F2:F32)</f>
        <v>73.466666666666654</v>
      </c>
      <c r="G33" s="82">
        <f>SUM(G2:G32)</f>
        <v>54.883333333333333</v>
      </c>
      <c r="H33" s="82">
        <f>SUM(H2:H32)</f>
        <v>16.766666666666669</v>
      </c>
      <c r="I33" s="82">
        <f>SUM(I2:I32)</f>
        <v>7.5694444444444509E-2</v>
      </c>
      <c r="J33" s="82">
        <f t="shared" ref="J33:K33" si="8">SUM(J2:J32)</f>
        <v>5.9166666666666679</v>
      </c>
      <c r="K33" s="83">
        <f t="shared" si="8"/>
        <v>1.8166666666666664</v>
      </c>
      <c r="L33" s="84"/>
      <c r="M33" s="75"/>
      <c r="N33" s="99" t="s">
        <v>31</v>
      </c>
      <c r="O33" s="100"/>
      <c r="P33" s="103">
        <f>+T11+O23</f>
        <v>13272.752679687499</v>
      </c>
      <c r="Q33" s="104"/>
      <c r="R33" s="76"/>
      <c r="S33" s="99" t="s">
        <v>25</v>
      </c>
      <c r="T33" s="100"/>
      <c r="U33" s="85">
        <f>-S13-O24</f>
        <v>1062</v>
      </c>
      <c r="V33" s="78"/>
    </row>
    <row r="34" spans="1:22" x14ac:dyDescent="0.2">
      <c r="M34" s="75"/>
      <c r="N34" s="93" t="s">
        <v>32</v>
      </c>
      <c r="O34" s="94"/>
      <c r="P34" s="97">
        <f>+T3</f>
        <v>10997.225333333332</v>
      </c>
      <c r="Q34" s="98"/>
      <c r="R34" s="76"/>
      <c r="S34" s="93" t="s">
        <v>33</v>
      </c>
      <c r="T34" s="94"/>
      <c r="U34" s="86">
        <f>+O23</f>
        <v>1485.266964409722</v>
      </c>
      <c r="V34" s="78"/>
    </row>
    <row r="35" spans="1:22" x14ac:dyDescent="0.2">
      <c r="C35" s="87"/>
      <c r="D35" s="87"/>
      <c r="E35" s="88"/>
      <c r="M35" s="75"/>
      <c r="N35" s="99" t="s">
        <v>34</v>
      </c>
      <c r="O35" s="100"/>
      <c r="P35" s="101">
        <f>-S9</f>
        <v>-94.65</v>
      </c>
      <c r="Q35" s="102"/>
      <c r="R35" s="76"/>
      <c r="S35" s="99" t="s">
        <v>35</v>
      </c>
      <c r="T35" s="100"/>
      <c r="U35" s="89">
        <f>+O28</f>
        <v>847.26696440972205</v>
      </c>
      <c r="V35" s="78"/>
    </row>
    <row r="36" spans="1:22" x14ac:dyDescent="0.2">
      <c r="C36" s="87"/>
      <c r="D36" s="87"/>
      <c r="E36" s="88"/>
      <c r="M36" s="75"/>
      <c r="N36" s="93" t="s">
        <v>36</v>
      </c>
      <c r="O36" s="94"/>
      <c r="P36" s="95">
        <f>IF(O3&gt;500,"",IF(O3&gt;=117,189.35,IF(O3&gt;=78,126.25,IF(O3 &gt;=39,63.1,IF(O3&lt;=38,0,"")))))</f>
        <v>63.1</v>
      </c>
      <c r="Q36" s="96"/>
      <c r="R36" s="76"/>
      <c r="S36" s="93"/>
      <c r="T36" s="94"/>
      <c r="U36" s="90"/>
      <c r="V36" s="78"/>
    </row>
    <row r="37" spans="1:22" x14ac:dyDescent="0.2">
      <c r="M37" s="91"/>
      <c r="N37" s="73"/>
      <c r="O37" s="73"/>
      <c r="P37" s="73"/>
      <c r="Q37" s="73"/>
      <c r="R37" s="73"/>
      <c r="S37" s="73"/>
      <c r="T37" s="73"/>
      <c r="U37" s="73"/>
      <c r="V37" s="92"/>
    </row>
  </sheetData>
  <mergeCells count="59">
    <mergeCell ref="M1:N1"/>
    <mergeCell ref="T1:V1"/>
    <mergeCell ref="M2:N2"/>
    <mergeCell ref="T2:V2"/>
    <mergeCell ref="M3:N3"/>
    <mergeCell ref="T3:V3"/>
    <mergeCell ref="M4:N4"/>
    <mergeCell ref="T4:V4"/>
    <mergeCell ref="M5:N5"/>
    <mergeCell ref="T5:V5"/>
    <mergeCell ref="M6:N6"/>
    <mergeCell ref="T6:V6"/>
    <mergeCell ref="M7:N7"/>
    <mergeCell ref="T7:V7"/>
    <mergeCell ref="M8:N8"/>
    <mergeCell ref="T8:V8"/>
    <mergeCell ref="M9:N9"/>
    <mergeCell ref="T9:V9"/>
    <mergeCell ref="M16:N16"/>
    <mergeCell ref="T16:V16"/>
    <mergeCell ref="M10:N10"/>
    <mergeCell ref="T10:V10"/>
    <mergeCell ref="M11:N11"/>
    <mergeCell ref="T11:V11"/>
    <mergeCell ref="M12:N12"/>
    <mergeCell ref="T12:V12"/>
    <mergeCell ref="T13:V13"/>
    <mergeCell ref="M14:N14"/>
    <mergeCell ref="T14:V14"/>
    <mergeCell ref="M15:N15"/>
    <mergeCell ref="T15:V15"/>
    <mergeCell ref="M28:N28"/>
    <mergeCell ref="M17:N17"/>
    <mergeCell ref="T17:V17"/>
    <mergeCell ref="M18:N18"/>
    <mergeCell ref="T18:V18"/>
    <mergeCell ref="T19:V19"/>
    <mergeCell ref="M20:N20"/>
    <mergeCell ref="T20:V20"/>
    <mergeCell ref="M21:N21"/>
    <mergeCell ref="T21:V21"/>
    <mergeCell ref="M23:N23"/>
    <mergeCell ref="M25:N25"/>
    <mergeCell ref="M26:N26"/>
    <mergeCell ref="N32:O32"/>
    <mergeCell ref="P32:Q32"/>
    <mergeCell ref="S32:T32"/>
    <mergeCell ref="N33:O33"/>
    <mergeCell ref="P33:Q33"/>
    <mergeCell ref="S33:T33"/>
    <mergeCell ref="N36:O36"/>
    <mergeCell ref="P36:Q36"/>
    <mergeCell ref="S36:T36"/>
    <mergeCell ref="N34:O34"/>
    <mergeCell ref="P34:Q34"/>
    <mergeCell ref="S34:T34"/>
    <mergeCell ref="N35:O35"/>
    <mergeCell ref="P35:Q35"/>
    <mergeCell ref="S35:T3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Løv Harries</dc:creator>
  <cp:lastModifiedBy>Bastian Løv Harries</cp:lastModifiedBy>
  <dcterms:created xsi:type="dcterms:W3CDTF">2023-11-01T21:34:13Z</dcterms:created>
  <dcterms:modified xsi:type="dcterms:W3CDTF">2023-11-01T21:44:30Z</dcterms:modified>
</cp:coreProperties>
</file>